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fileSharing readOnlyRecommended="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cohen\Dropbox\SFCity\Working Files\PeerGroup\"/>
    </mc:Choice>
  </mc:AlternateContent>
  <xr:revisionPtr revIDLastSave="0" documentId="8_{9C5FCD4F-8C36-42FC-9554-C430A714CFF3}" xr6:coauthVersionLast="36" xr6:coauthVersionMax="36" xr10:uidLastSave="{00000000-0000-0000-0000-000000000000}"/>
  <bookViews>
    <workbookView xWindow="1845" yWindow="465" windowWidth="27315" windowHeight="13785" tabRatio="850" xr2:uid="{00000000-000D-0000-FFFF-FFFF00000000}"/>
  </bookViews>
  <sheets>
    <sheet name="Instructions" sheetId="48" r:id="rId1"/>
    <sheet name="SummaryTables" sheetId="33" r:id="rId2"/>
    <sheet name="Model-1-Trends" sheetId="41" r:id="rId3"/>
    <sheet name="Model-1-Low" sheetId="43" r:id="rId4"/>
    <sheet name="ReinvestNon-Bank-High" sheetId="42" state="hidden" r:id="rId5"/>
    <sheet name="Model-1-High" sheetId="51" r:id="rId6"/>
    <sheet name="Model-2-Trends" sheetId="45" r:id="rId7"/>
    <sheet name="Model-2-Low" sheetId="35" r:id="rId8"/>
    <sheet name="Model-2-High" sheetId="31" r:id="rId9"/>
    <sheet name="Model-3-Trends" sheetId="47" r:id="rId10"/>
    <sheet name="Model-3-Low" sheetId="37" r:id="rId11"/>
    <sheet name="Combined-High" sheetId="34" state="hidden" r:id="rId12"/>
    <sheet name="Model-3-High" sheetId="50" r:id="rId13"/>
    <sheet name="Start-up Cost" sheetId="7" r:id="rId14"/>
  </sheets>
  <definedNames>
    <definedName name="_xlnm.Print_Area" localSheetId="11">'Combined-High'!$A$1:$AF$121</definedName>
    <definedName name="_xlnm.Print_Area" localSheetId="0">Instructions!$A$1:$D$35</definedName>
    <definedName name="_xlnm.Print_Area" localSheetId="5">'Model-1-High'!$A$1:$AF$119</definedName>
    <definedName name="_xlnm.Print_Area" localSheetId="3">'Model-1-Low'!$A$1:$AF$119</definedName>
    <definedName name="_xlnm.Print_Area" localSheetId="2">'Model-1-Trends'!$A$1:$X$88</definedName>
    <definedName name="_xlnm.Print_Area" localSheetId="8">'Model-2-High'!$A$1:$AF$120</definedName>
    <definedName name="_xlnm.Print_Area" localSheetId="7">'Model-2-Low'!$A$1:$AF$121</definedName>
    <definedName name="_xlnm.Print_Area" localSheetId="6">'Model-2-Trends'!$A$1:$W$97</definedName>
    <definedName name="_xlnm.Print_Area" localSheetId="12">'Model-3-High'!$A$1:$AF$121</definedName>
    <definedName name="_xlnm.Print_Area" localSheetId="10">'Model-3-Low'!$A$1:$AF$120</definedName>
    <definedName name="_xlnm.Print_Area" localSheetId="4">'ReinvestNon-Bank-High'!$A$1:$AF$119</definedName>
    <definedName name="_xlnm.Print_Area" localSheetId="13">'Start-up Cost'!$A$1:$N$39</definedName>
    <definedName name="_xlnm.Print_Area" localSheetId="1">SummaryTables!$A$1:$J$89</definedName>
    <definedName name="_xlnm.Print_Titles" localSheetId="1">SummaryTables!$1:$1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9" i="51" l="1"/>
  <c r="J70" i="33" l="1"/>
  <c r="H70" i="33"/>
  <c r="I70" i="33"/>
  <c r="B16" i="33" l="1"/>
  <c r="B15" i="33"/>
  <c r="B14" i="33"/>
  <c r="B13" i="33"/>
  <c r="B12" i="33"/>
  <c r="B11" i="33"/>
  <c r="B10" i="33"/>
  <c r="B9" i="33"/>
  <c r="B8" i="33"/>
  <c r="B7" i="33"/>
  <c r="B60" i="33"/>
  <c r="B59" i="33"/>
  <c r="B58" i="33"/>
  <c r="B57" i="33"/>
  <c r="B56" i="33"/>
  <c r="B55" i="33"/>
  <c r="B54" i="33"/>
  <c r="B53" i="33"/>
  <c r="B52" i="33"/>
  <c r="B51" i="33"/>
  <c r="B37" i="33"/>
  <c r="B36" i="33"/>
  <c r="B35" i="33"/>
  <c r="B34" i="33"/>
  <c r="B33" i="33"/>
  <c r="B32" i="33"/>
  <c r="B31" i="33"/>
  <c r="B30" i="33"/>
  <c r="B29" i="33"/>
  <c r="B28" i="33"/>
  <c r="M17" i="47"/>
  <c r="M16" i="47"/>
  <c r="M15" i="47"/>
  <c r="M14" i="47"/>
  <c r="M13" i="47"/>
  <c r="M12" i="47"/>
  <c r="M11" i="47"/>
  <c r="M10" i="47"/>
  <c r="M9" i="47"/>
  <c r="M8" i="47"/>
  <c r="G17" i="47"/>
  <c r="S17" i="47" s="1"/>
  <c r="G16" i="47"/>
  <c r="G15" i="47"/>
  <c r="S15" i="47" s="1"/>
  <c r="G14" i="47"/>
  <c r="S14" i="47" s="1"/>
  <c r="G13" i="47"/>
  <c r="S13" i="47" s="1"/>
  <c r="G12" i="47"/>
  <c r="G11" i="47"/>
  <c r="S11" i="47" s="1"/>
  <c r="G10" i="47"/>
  <c r="S10" i="47" s="1"/>
  <c r="G9" i="47"/>
  <c r="S9" i="47" s="1"/>
  <c r="G8" i="47"/>
  <c r="M17" i="45"/>
  <c r="M16" i="45"/>
  <c r="M15" i="45"/>
  <c r="M14" i="45"/>
  <c r="M13" i="45"/>
  <c r="M12" i="45"/>
  <c r="M11" i="45"/>
  <c r="M10" i="45"/>
  <c r="M9" i="45"/>
  <c r="M8" i="45"/>
  <c r="G17" i="45"/>
  <c r="G16" i="45"/>
  <c r="G15" i="45"/>
  <c r="G14" i="45"/>
  <c r="S14" i="45" s="1"/>
  <c r="G13" i="45"/>
  <c r="G12" i="45"/>
  <c r="S12" i="45" s="1"/>
  <c r="G11" i="45"/>
  <c r="G10" i="45"/>
  <c r="S10" i="45" s="1"/>
  <c r="G9" i="45"/>
  <c r="G8" i="45"/>
  <c r="S17" i="45"/>
  <c r="S16" i="45"/>
  <c r="S15" i="45"/>
  <c r="S13" i="45"/>
  <c r="S11" i="45"/>
  <c r="S9" i="45"/>
  <c r="M17" i="41"/>
  <c r="G17" i="41"/>
  <c r="M16" i="41"/>
  <c r="M15" i="41"/>
  <c r="M14" i="41"/>
  <c r="M13" i="41"/>
  <c r="M12" i="41"/>
  <c r="M11" i="41"/>
  <c r="M10" i="41"/>
  <c r="M9" i="41"/>
  <c r="M8" i="41"/>
  <c r="G16" i="41"/>
  <c r="G15" i="41"/>
  <c r="G14" i="41"/>
  <c r="G13" i="41"/>
  <c r="G12" i="41"/>
  <c r="S12" i="41" s="1"/>
  <c r="G11" i="41"/>
  <c r="G10" i="41"/>
  <c r="G9" i="41"/>
  <c r="G8" i="41"/>
  <c r="S8" i="45" l="1"/>
  <c r="S11" i="41"/>
  <c r="S15" i="41"/>
  <c r="S9" i="41"/>
  <c r="S13" i="41"/>
  <c r="S8" i="41"/>
  <c r="S16" i="41"/>
  <c r="S10" i="41"/>
  <c r="S14" i="41"/>
  <c r="S17" i="41"/>
  <c r="S8" i="47"/>
  <c r="S12" i="47"/>
  <c r="S16" i="47"/>
  <c r="G18" i="41"/>
  <c r="AF119" i="51" l="1"/>
  <c r="Z75" i="51"/>
  <c r="V75" i="51"/>
  <c r="V78" i="51" s="1"/>
  <c r="AD73" i="51"/>
  <c r="AD75" i="51" s="1"/>
  <c r="AD78" i="51" s="1"/>
  <c r="AC73" i="51"/>
  <c r="AC75" i="51" s="1"/>
  <c r="AB73" i="51"/>
  <c r="AB75" i="51" s="1"/>
  <c r="AB78" i="51" s="1"/>
  <c r="AA73" i="51"/>
  <c r="AA75" i="51" s="1"/>
  <c r="Z73" i="51"/>
  <c r="Y73" i="51"/>
  <c r="X73" i="51"/>
  <c r="X75" i="51" s="1"/>
  <c r="X78" i="51" s="1"/>
  <c r="W73" i="51"/>
  <c r="W75" i="51" s="1"/>
  <c r="W78" i="51" s="1"/>
  <c r="V73" i="51"/>
  <c r="U73" i="51"/>
  <c r="U75" i="51" s="1"/>
  <c r="AF71" i="51"/>
  <c r="H35" i="51"/>
  <c r="H36" i="51" s="1"/>
  <c r="H42" i="51" s="1"/>
  <c r="D35" i="51"/>
  <c r="P31" i="51"/>
  <c r="H25" i="51"/>
  <c r="H26" i="51" s="1"/>
  <c r="F25" i="51"/>
  <c r="F26" i="51" s="1"/>
  <c r="D25" i="51"/>
  <c r="D26" i="51" s="1"/>
  <c r="T21" i="51"/>
  <c r="N18" i="51" s="1"/>
  <c r="D21" i="51"/>
  <c r="H21" i="51" s="1"/>
  <c r="H28" i="51" s="1"/>
  <c r="H19" i="51"/>
  <c r="F19" i="51"/>
  <c r="D19" i="51"/>
  <c r="H13" i="51"/>
  <c r="F13" i="51"/>
  <c r="D13" i="51"/>
  <c r="P11" i="51"/>
  <c r="AC70" i="51" s="1"/>
  <c r="F8" i="51"/>
  <c r="F6" i="51" s="1"/>
  <c r="D8" i="51"/>
  <c r="D6" i="51" s="1"/>
  <c r="H6" i="51"/>
  <c r="AD73" i="50"/>
  <c r="AC73" i="50"/>
  <c r="AC75" i="50" s="1"/>
  <c r="AB73" i="50"/>
  <c r="AB75" i="50" s="1"/>
  <c r="AA73" i="50"/>
  <c r="AA75" i="50" s="1"/>
  <c r="AA78" i="50" s="1"/>
  <c r="Z73" i="50"/>
  <c r="Y73" i="50"/>
  <c r="Y75" i="50" s="1"/>
  <c r="Y78" i="50" s="1"/>
  <c r="X73" i="50"/>
  <c r="X75" i="50" s="1"/>
  <c r="W73" i="50"/>
  <c r="W75" i="50" s="1"/>
  <c r="V73" i="50"/>
  <c r="U73" i="50"/>
  <c r="U75" i="50" s="1"/>
  <c r="AF71" i="50"/>
  <c r="H35" i="50"/>
  <c r="H36" i="50" s="1"/>
  <c r="H42" i="50" s="1"/>
  <c r="D35" i="50"/>
  <c r="P31" i="50"/>
  <c r="L29" i="50"/>
  <c r="L33" i="50" s="1"/>
  <c r="H25" i="50"/>
  <c r="H26" i="50" s="1"/>
  <c r="F25" i="50"/>
  <c r="F26" i="50" s="1"/>
  <c r="D25" i="50"/>
  <c r="D26" i="50" s="1"/>
  <c r="T21" i="50"/>
  <c r="AC88" i="50" s="1"/>
  <c r="AC107" i="50" s="1"/>
  <c r="D21" i="50"/>
  <c r="D28" i="50" s="1"/>
  <c r="H19" i="50"/>
  <c r="F19" i="50"/>
  <c r="D19" i="50"/>
  <c r="P16" i="50"/>
  <c r="H13" i="50"/>
  <c r="F13" i="50"/>
  <c r="D13" i="50"/>
  <c r="P11" i="50"/>
  <c r="F8" i="50"/>
  <c r="D8" i="50"/>
  <c r="D6" i="50" s="1"/>
  <c r="H6" i="50"/>
  <c r="F6" i="50"/>
  <c r="D28" i="51" l="1"/>
  <c r="P26" i="51"/>
  <c r="P25" i="51" s="1"/>
  <c r="X68" i="51"/>
  <c r="V80" i="51"/>
  <c r="W78" i="50"/>
  <c r="W80" i="50"/>
  <c r="F21" i="50"/>
  <c r="F28" i="50" s="1"/>
  <c r="Y70" i="51"/>
  <c r="Y100" i="51" s="1"/>
  <c r="W80" i="51"/>
  <c r="AB88" i="51"/>
  <c r="AB107" i="51" s="1"/>
  <c r="H21" i="50"/>
  <c r="H28" i="50" s="1"/>
  <c r="AA80" i="50"/>
  <c r="U68" i="51"/>
  <c r="U62" i="51" s="1"/>
  <c r="AB70" i="51"/>
  <c r="AB64" i="51" s="1"/>
  <c r="AD80" i="51"/>
  <c r="N18" i="50"/>
  <c r="P6" i="51"/>
  <c r="T5" i="51" s="1"/>
  <c r="Z68" i="51"/>
  <c r="Z85" i="51" s="1"/>
  <c r="U88" i="51"/>
  <c r="U107" i="51" s="1"/>
  <c r="D7" i="51"/>
  <c r="D9" i="51" s="1"/>
  <c r="X85" i="51"/>
  <c r="X98" i="51"/>
  <c r="F7" i="51"/>
  <c r="F9" i="51" s="1"/>
  <c r="AC113" i="51"/>
  <c r="AC87" i="51"/>
  <c r="AC100" i="51"/>
  <c r="AC64" i="51"/>
  <c r="F21" i="51"/>
  <c r="F28" i="51" s="1"/>
  <c r="U78" i="51"/>
  <c r="U80" i="51" s="1"/>
  <c r="Y75" i="51"/>
  <c r="Y88" i="51"/>
  <c r="Y107" i="51" s="1"/>
  <c r="AC78" i="51"/>
  <c r="AC80" i="51" s="1"/>
  <c r="Z78" i="51"/>
  <c r="Z80" i="51" s="1"/>
  <c r="AC88" i="51"/>
  <c r="AC107" i="51" s="1"/>
  <c r="AB113" i="51"/>
  <c r="AB87" i="51"/>
  <c r="AB100" i="51"/>
  <c r="U98" i="51"/>
  <c r="H9" i="51"/>
  <c r="H7" i="51"/>
  <c r="X62" i="51"/>
  <c r="Y113" i="51"/>
  <c r="V88" i="51"/>
  <c r="V107" i="51" s="1"/>
  <c r="Z88" i="51"/>
  <c r="Z107" i="51" s="1"/>
  <c r="AD88" i="51"/>
  <c r="AD107" i="51" s="1"/>
  <c r="AA78" i="51"/>
  <c r="AA80" i="51" s="1"/>
  <c r="V68" i="51"/>
  <c r="AA68" i="51"/>
  <c r="U70" i="51"/>
  <c r="W88" i="51"/>
  <c r="W107" i="51" s="1"/>
  <c r="AA88" i="51"/>
  <c r="AA107" i="51" s="1"/>
  <c r="X88" i="51"/>
  <c r="X107" i="51" s="1"/>
  <c r="AA70" i="51"/>
  <c r="W70" i="51"/>
  <c r="AC68" i="51"/>
  <c r="Y68" i="51"/>
  <c r="AD70" i="51"/>
  <c r="Z70" i="51"/>
  <c r="V70" i="51"/>
  <c r="AB68" i="51"/>
  <c r="W68" i="51"/>
  <c r="AD68" i="51"/>
  <c r="X70" i="51"/>
  <c r="X80" i="51"/>
  <c r="AB80" i="51"/>
  <c r="P26" i="50"/>
  <c r="P25" i="50" s="1"/>
  <c r="P6" i="50"/>
  <c r="T5" i="50" s="1"/>
  <c r="D7" i="50"/>
  <c r="F7" i="50"/>
  <c r="F9" i="50"/>
  <c r="AD70" i="50"/>
  <c r="Z70" i="50"/>
  <c r="V70" i="50"/>
  <c r="AB70" i="50"/>
  <c r="X70" i="50"/>
  <c r="AA70" i="50"/>
  <c r="W70" i="50"/>
  <c r="H7" i="50"/>
  <c r="H9" i="50" s="1"/>
  <c r="W68" i="50"/>
  <c r="AA68" i="50"/>
  <c r="X78" i="50"/>
  <c r="X80" i="50" s="1"/>
  <c r="AB78" i="50"/>
  <c r="AB80" i="50" s="1"/>
  <c r="U88" i="50"/>
  <c r="U107" i="50" s="1"/>
  <c r="X68" i="50"/>
  <c r="AB68" i="50"/>
  <c r="U70" i="50"/>
  <c r="Y80" i="50"/>
  <c r="U78" i="50"/>
  <c r="U80" i="50" s="1"/>
  <c r="Y88" i="50"/>
  <c r="Y107" i="50" s="1"/>
  <c r="U68" i="50"/>
  <c r="Y68" i="50"/>
  <c r="AC68" i="50"/>
  <c r="Y70" i="50"/>
  <c r="V88" i="50"/>
  <c r="V107" i="50" s="1"/>
  <c r="Z88" i="50"/>
  <c r="Z107" i="50" s="1"/>
  <c r="AD88" i="50"/>
  <c r="AD107" i="50" s="1"/>
  <c r="V68" i="50"/>
  <c r="Z68" i="50"/>
  <c r="AD68" i="50"/>
  <c r="AC70" i="50"/>
  <c r="W88" i="50"/>
  <c r="W107" i="50" s="1"/>
  <c r="AA88" i="50"/>
  <c r="AA107" i="50" s="1"/>
  <c r="AC78" i="50"/>
  <c r="AC80" i="50" s="1"/>
  <c r="V75" i="50"/>
  <c r="Z75" i="50"/>
  <c r="AD75" i="50"/>
  <c r="X88" i="50"/>
  <c r="X107" i="50" s="1"/>
  <c r="AB88" i="50"/>
  <c r="AB107" i="50" s="1"/>
  <c r="T117" i="35"/>
  <c r="D9" i="45"/>
  <c r="D10" i="45" s="1"/>
  <c r="D11" i="45" s="1"/>
  <c r="D12" i="45" s="1"/>
  <c r="D13" i="45" s="1"/>
  <c r="D14" i="45" s="1"/>
  <c r="D15" i="45" s="1"/>
  <c r="D16" i="45" s="1"/>
  <c r="D17" i="45" s="1"/>
  <c r="D18" i="45" s="1"/>
  <c r="D19" i="45" s="1"/>
  <c r="D20" i="45" s="1"/>
  <c r="D21" i="45" s="1"/>
  <c r="D22" i="45" s="1"/>
  <c r="D23" i="45" s="1"/>
  <c r="D24" i="45" s="1"/>
  <c r="D25" i="45" s="1"/>
  <c r="D26" i="45" s="1"/>
  <c r="D27" i="45" s="1"/>
  <c r="D28" i="45" s="1"/>
  <c r="D29" i="45" s="1"/>
  <c r="D30" i="45" s="1"/>
  <c r="D31" i="45" s="1"/>
  <c r="D32" i="45" s="1"/>
  <c r="D33" i="45" s="1"/>
  <c r="D34" i="45" s="1"/>
  <c r="D35" i="45" s="1"/>
  <c r="D36" i="45" s="1"/>
  <c r="Y64" i="51" l="1"/>
  <c r="Y87" i="51"/>
  <c r="Z62" i="51"/>
  <c r="U85" i="51"/>
  <c r="Z69" i="51"/>
  <c r="Z99" i="51" s="1"/>
  <c r="D37" i="45"/>
  <c r="D38" i="45" s="1"/>
  <c r="D39" i="45" s="1"/>
  <c r="D40" i="45" s="1"/>
  <c r="D41" i="45" s="1"/>
  <c r="D42" i="45" s="1"/>
  <c r="D43" i="45" s="1"/>
  <c r="D44" i="45" s="1"/>
  <c r="D45" i="45" s="1"/>
  <c r="D46" i="45" s="1"/>
  <c r="D47" i="45" s="1"/>
  <c r="D48" i="45" s="1"/>
  <c r="D49" i="45" s="1"/>
  <c r="D50" i="45" s="1"/>
  <c r="D51" i="45" s="1"/>
  <c r="D52" i="45" s="1"/>
  <c r="D53" i="45" s="1"/>
  <c r="D54" i="45" s="1"/>
  <c r="D55" i="45" s="1"/>
  <c r="D56" i="45" s="1"/>
  <c r="D57" i="45" s="1"/>
  <c r="D58" i="45" s="1"/>
  <c r="D59" i="45" s="1"/>
  <c r="D60" i="45" s="1"/>
  <c r="D61" i="45" s="1"/>
  <c r="D62" i="45" s="1"/>
  <c r="D63" i="45" s="1"/>
  <c r="D64" i="45" s="1"/>
  <c r="D65" i="45" s="1"/>
  <c r="D66" i="45" s="1"/>
  <c r="D67" i="45" s="1"/>
  <c r="P9" i="51"/>
  <c r="Z98" i="51"/>
  <c r="Y85" i="51"/>
  <c r="Y69" i="51"/>
  <c r="Y98" i="51"/>
  <c r="Y62" i="51"/>
  <c r="AA98" i="51"/>
  <c r="AA69" i="51"/>
  <c r="AA62" i="51"/>
  <c r="AA85" i="51"/>
  <c r="AF68" i="51"/>
  <c r="Y78" i="51"/>
  <c r="Y80" i="51" s="1"/>
  <c r="V100" i="51"/>
  <c r="V87" i="51"/>
  <c r="V113" i="51"/>
  <c r="V64" i="51"/>
  <c r="W98" i="51"/>
  <c r="W85" i="51"/>
  <c r="W62" i="51"/>
  <c r="W69" i="51"/>
  <c r="AD100" i="51"/>
  <c r="AD113" i="51"/>
  <c r="AD87" i="51"/>
  <c r="AD64" i="51"/>
  <c r="AA100" i="51"/>
  <c r="AA113" i="51"/>
  <c r="AA87" i="51"/>
  <c r="AA64" i="51"/>
  <c r="U113" i="51"/>
  <c r="U87" i="51"/>
  <c r="AF70" i="51"/>
  <c r="U100" i="51"/>
  <c r="U64" i="51"/>
  <c r="U69" i="51"/>
  <c r="P7" i="51"/>
  <c r="AB85" i="51"/>
  <c r="AB69" i="51"/>
  <c r="AB98" i="51"/>
  <c r="AB62" i="51"/>
  <c r="X113" i="51"/>
  <c r="X87" i="51"/>
  <c r="X64" i="51"/>
  <c r="X100" i="51"/>
  <c r="AC85" i="51"/>
  <c r="AC69" i="51"/>
  <c r="AC98" i="51"/>
  <c r="AC62" i="51"/>
  <c r="V69" i="51"/>
  <c r="V98" i="51"/>
  <c r="V85" i="51"/>
  <c r="V62" i="51"/>
  <c r="Z86" i="51"/>
  <c r="Z63" i="51"/>
  <c r="AD69" i="51"/>
  <c r="AD98" i="51"/>
  <c r="AD85" i="51"/>
  <c r="AD62" i="51"/>
  <c r="Z100" i="51"/>
  <c r="Z113" i="51"/>
  <c r="Z87" i="51"/>
  <c r="Z64" i="51"/>
  <c r="W100" i="51"/>
  <c r="W113" i="51"/>
  <c r="W87" i="51"/>
  <c r="W64" i="51"/>
  <c r="X69" i="51"/>
  <c r="Z98" i="50"/>
  <c r="Z85" i="50"/>
  <c r="Z69" i="50"/>
  <c r="Z62" i="50"/>
  <c r="U69" i="50"/>
  <c r="U98" i="50"/>
  <c r="U85" i="50"/>
  <c r="U62" i="50"/>
  <c r="AF68" i="50"/>
  <c r="U114" i="50"/>
  <c r="U100" i="50"/>
  <c r="U87" i="50"/>
  <c r="AF70" i="50"/>
  <c r="U64" i="50"/>
  <c r="AB100" i="50"/>
  <c r="AB87" i="50"/>
  <c r="AB114" i="50"/>
  <c r="AB64" i="50"/>
  <c r="P7" i="50"/>
  <c r="AD78" i="50"/>
  <c r="AD80" i="50" s="1"/>
  <c r="V98" i="50"/>
  <c r="V85" i="50"/>
  <c r="V69" i="50"/>
  <c r="V62" i="50"/>
  <c r="Y114" i="50"/>
  <c r="Y100" i="50"/>
  <c r="Y87" i="50"/>
  <c r="Y64" i="50"/>
  <c r="AB98" i="50"/>
  <c r="AB85" i="50"/>
  <c r="AB62" i="50"/>
  <c r="AB69" i="50"/>
  <c r="W100" i="50"/>
  <c r="W114" i="50"/>
  <c r="W87" i="50"/>
  <c r="W64" i="50"/>
  <c r="V114" i="50"/>
  <c r="V100" i="50"/>
  <c r="V87" i="50"/>
  <c r="V64" i="50"/>
  <c r="D9" i="50"/>
  <c r="P9" i="50" s="1"/>
  <c r="Z78" i="50"/>
  <c r="Z80" i="50"/>
  <c r="AC114" i="50"/>
  <c r="AC100" i="50"/>
  <c r="AC87" i="50"/>
  <c r="AC64" i="50"/>
  <c r="AC69" i="50"/>
  <c r="AC98" i="50"/>
  <c r="AC85" i="50"/>
  <c r="AC62" i="50"/>
  <c r="X98" i="50"/>
  <c r="X85" i="50"/>
  <c r="X69" i="50"/>
  <c r="X62" i="50"/>
  <c r="AA98" i="50"/>
  <c r="AA69" i="50"/>
  <c r="AA85" i="50"/>
  <c r="AA62" i="50"/>
  <c r="AA100" i="50"/>
  <c r="AA114" i="50"/>
  <c r="AA87" i="50"/>
  <c r="AA64" i="50"/>
  <c r="Z114" i="50"/>
  <c r="Z100" i="50"/>
  <c r="Z87" i="50"/>
  <c r="Z64" i="50"/>
  <c r="V78" i="50"/>
  <c r="V80" i="50"/>
  <c r="AD98" i="50"/>
  <c r="AD85" i="50"/>
  <c r="AD69" i="50"/>
  <c r="AD62" i="50"/>
  <c r="Y69" i="50"/>
  <c r="Y98" i="50"/>
  <c r="Y85" i="50"/>
  <c r="Y62" i="50"/>
  <c r="W98" i="50"/>
  <c r="W85" i="50"/>
  <c r="W69" i="50"/>
  <c r="W62" i="50"/>
  <c r="X100" i="50"/>
  <c r="X87" i="50"/>
  <c r="X114" i="50"/>
  <c r="X64" i="50"/>
  <c r="AD114" i="50"/>
  <c r="AD100" i="50"/>
  <c r="AD87" i="50"/>
  <c r="AD64" i="50"/>
  <c r="P31" i="35"/>
  <c r="N40" i="35"/>
  <c r="N40" i="31" s="1"/>
  <c r="N42" i="31" s="1"/>
  <c r="N40" i="43"/>
  <c r="Z101" i="51" l="1"/>
  <c r="N40" i="51"/>
  <c r="N42" i="43"/>
  <c r="N42" i="35"/>
  <c r="N40" i="37"/>
  <c r="AF62" i="51"/>
  <c r="Z89" i="51"/>
  <c r="T6" i="51"/>
  <c r="P8" i="51"/>
  <c r="V86" i="51"/>
  <c r="V99" i="51"/>
  <c r="V101" i="51" s="1"/>
  <c r="V63" i="51"/>
  <c r="V65" i="51" s="1"/>
  <c r="V81" i="51" s="1"/>
  <c r="AB99" i="51"/>
  <c r="AB63" i="51"/>
  <c r="AB65" i="51" s="1"/>
  <c r="AB81" i="51" s="1"/>
  <c r="AB86" i="51"/>
  <c r="Z65" i="51"/>
  <c r="Z81" i="51" s="1"/>
  <c r="Z92" i="51" s="1"/>
  <c r="U99" i="51"/>
  <c r="U101" i="51" s="1"/>
  <c r="U86" i="51"/>
  <c r="U63" i="51"/>
  <c r="AF69" i="51"/>
  <c r="X99" i="51"/>
  <c r="X101" i="51" s="1"/>
  <c r="X63" i="51"/>
  <c r="X86" i="51"/>
  <c r="AD86" i="51"/>
  <c r="AD99" i="51"/>
  <c r="AD101" i="51" s="1"/>
  <c r="AD63" i="51"/>
  <c r="AD65" i="51" s="1"/>
  <c r="AD81" i="51" s="1"/>
  <c r="AC99" i="51"/>
  <c r="AC101" i="51" s="1"/>
  <c r="AC86" i="51"/>
  <c r="AC89" i="51" s="1"/>
  <c r="AC63" i="51"/>
  <c r="AC65" i="51" s="1"/>
  <c r="AC81" i="51" s="1"/>
  <c r="AC94" i="51" s="1"/>
  <c r="AC106" i="51" s="1"/>
  <c r="AB101" i="51"/>
  <c r="AF64" i="51"/>
  <c r="AA86" i="51"/>
  <c r="AA99" i="51"/>
  <c r="AA63" i="51"/>
  <c r="Y99" i="51"/>
  <c r="Y101" i="51" s="1"/>
  <c r="Y63" i="51"/>
  <c r="Y86" i="51"/>
  <c r="Y89" i="51" s="1"/>
  <c r="W86" i="51"/>
  <c r="W63" i="51"/>
  <c r="W65" i="51" s="1"/>
  <c r="W81" i="51" s="1"/>
  <c r="W99" i="51"/>
  <c r="W101" i="51" s="1"/>
  <c r="AA101" i="51"/>
  <c r="W99" i="50"/>
  <c r="W86" i="50"/>
  <c r="W63" i="50"/>
  <c r="W65" i="50" s="1"/>
  <c r="W81" i="50" s="1"/>
  <c r="AD86" i="50"/>
  <c r="AD89" i="50" s="1"/>
  <c r="AD99" i="50"/>
  <c r="AD63" i="50"/>
  <c r="AD65" i="50" s="1"/>
  <c r="AD81" i="50" s="1"/>
  <c r="AA99" i="50"/>
  <c r="AA101" i="50" s="1"/>
  <c r="AA86" i="50"/>
  <c r="AA63" i="50"/>
  <c r="V86" i="50"/>
  <c r="V89" i="50" s="1"/>
  <c r="V99" i="50"/>
  <c r="V101" i="50" s="1"/>
  <c r="V63" i="50"/>
  <c r="V65" i="50" s="1"/>
  <c r="V81" i="50" s="1"/>
  <c r="AF62" i="50"/>
  <c r="AF69" i="50"/>
  <c r="U99" i="50"/>
  <c r="U101" i="50" s="1"/>
  <c r="U86" i="50"/>
  <c r="U63" i="50"/>
  <c r="U65" i="50" s="1"/>
  <c r="W89" i="50"/>
  <c r="T6" i="50"/>
  <c r="P8" i="50"/>
  <c r="Z86" i="50"/>
  <c r="Z89" i="50" s="1"/>
  <c r="Z99" i="50"/>
  <c r="Z101" i="50" s="1"/>
  <c r="Z63" i="50"/>
  <c r="Z65" i="50" s="1"/>
  <c r="Z81" i="50" s="1"/>
  <c r="X99" i="50"/>
  <c r="X101" i="50" s="1"/>
  <c r="X86" i="50"/>
  <c r="X63" i="50"/>
  <c r="W101" i="50"/>
  <c r="Y99" i="50"/>
  <c r="Y101" i="50" s="1"/>
  <c r="Y63" i="50"/>
  <c r="Y65" i="50" s="1"/>
  <c r="Y81" i="50" s="1"/>
  <c r="Y86" i="50"/>
  <c r="Y89" i="50" s="1"/>
  <c r="AD101" i="50"/>
  <c r="AA94" i="50"/>
  <c r="AA106" i="50" s="1"/>
  <c r="AA65" i="50"/>
  <c r="AA81" i="50" s="1"/>
  <c r="AA92" i="50" s="1"/>
  <c r="X65" i="50"/>
  <c r="X81" i="50" s="1"/>
  <c r="X94" i="50" s="1"/>
  <c r="X106" i="50" s="1"/>
  <c r="AC99" i="50"/>
  <c r="AC101" i="50" s="1"/>
  <c r="AC86" i="50"/>
  <c r="AC63" i="50"/>
  <c r="AB99" i="50"/>
  <c r="AB101" i="50" s="1"/>
  <c r="AB86" i="50"/>
  <c r="AB89" i="50" s="1"/>
  <c r="AB63" i="50"/>
  <c r="AB65" i="50" s="1"/>
  <c r="AB81" i="50" s="1"/>
  <c r="AB92" i="50" s="1"/>
  <c r="AF64" i="50"/>
  <c r="W92" i="50" l="1"/>
  <c r="W104" i="50" s="1"/>
  <c r="W94" i="50"/>
  <c r="W106" i="50" s="1"/>
  <c r="Z94" i="51"/>
  <c r="Z106" i="51" s="1"/>
  <c r="Z93" i="51"/>
  <c r="Z105" i="51" s="1"/>
  <c r="Z112" i="51" s="1"/>
  <c r="AD94" i="51"/>
  <c r="AD106" i="51" s="1"/>
  <c r="AD92" i="51"/>
  <c r="AB94" i="51"/>
  <c r="AB106" i="51" s="1"/>
  <c r="AB92" i="51"/>
  <c r="X92" i="50"/>
  <c r="X104" i="50" s="1"/>
  <c r="N40" i="34"/>
  <c r="N42" i="34" s="1"/>
  <c r="N40" i="50"/>
  <c r="N42" i="37"/>
  <c r="P40" i="51"/>
  <c r="N42" i="51"/>
  <c r="V92" i="51"/>
  <c r="V94" i="51"/>
  <c r="V106" i="51" s="1"/>
  <c r="W94" i="51"/>
  <c r="W106" i="51" s="1"/>
  <c r="W92" i="51"/>
  <c r="AF63" i="51"/>
  <c r="U65" i="51"/>
  <c r="V93" i="51"/>
  <c r="V105" i="51" s="1"/>
  <c r="V112" i="51" s="1"/>
  <c r="X89" i="51"/>
  <c r="U89" i="51"/>
  <c r="AC92" i="51"/>
  <c r="AB104" i="51"/>
  <c r="AC93" i="51"/>
  <c r="AD93" i="51"/>
  <c r="AD95" i="51" s="1"/>
  <c r="X65" i="51"/>
  <c r="X81" i="51" s="1"/>
  <c r="AD89" i="51"/>
  <c r="AB93" i="51"/>
  <c r="W89" i="51"/>
  <c r="U6" i="51"/>
  <c r="T7" i="51"/>
  <c r="V89" i="51"/>
  <c r="AA89" i="51"/>
  <c r="AB89" i="51"/>
  <c r="W93" i="51"/>
  <c r="W105" i="51" s="1"/>
  <c r="W112" i="51" s="1"/>
  <c r="AC105" i="51"/>
  <c r="AC112" i="51" s="1"/>
  <c r="Y65" i="51"/>
  <c r="Y81" i="51" s="1"/>
  <c r="Z104" i="51"/>
  <c r="AD104" i="51"/>
  <c r="AA65" i="51"/>
  <c r="AA81" i="51" s="1"/>
  <c r="U81" i="50"/>
  <c r="U93" i="50" s="1"/>
  <c r="U105" i="50" s="1"/>
  <c r="U113" i="50" s="1"/>
  <c r="Z94" i="50"/>
  <c r="Z106" i="50" s="1"/>
  <c r="Z92" i="50"/>
  <c r="W112" i="50"/>
  <c r="AD94" i="50"/>
  <c r="AD106" i="50" s="1"/>
  <c r="AD92" i="50"/>
  <c r="AB104" i="50"/>
  <c r="Y94" i="50"/>
  <c r="Y106" i="50" s="1"/>
  <c r="Y92" i="50"/>
  <c r="V94" i="50"/>
  <c r="V106" i="50" s="1"/>
  <c r="V92" i="50"/>
  <c r="V93" i="50"/>
  <c r="AB94" i="50"/>
  <c r="AB106" i="50" s="1"/>
  <c r="X89" i="50"/>
  <c r="Z93" i="50"/>
  <c r="Z105" i="50" s="1"/>
  <c r="Z113" i="50" s="1"/>
  <c r="AC65" i="50"/>
  <c r="AC81" i="50" s="1"/>
  <c r="U6" i="50"/>
  <c r="T7" i="50"/>
  <c r="V105" i="50"/>
  <c r="V113" i="50" s="1"/>
  <c r="AD93" i="50"/>
  <c r="AD105" i="50" s="1"/>
  <c r="AD113" i="50" s="1"/>
  <c r="AA89" i="50"/>
  <c r="AB93" i="50"/>
  <c r="AB95" i="50" s="1"/>
  <c r="Y93" i="50"/>
  <c r="Y105" i="50" s="1"/>
  <c r="Y113" i="50" s="1"/>
  <c r="X93" i="50"/>
  <c r="X95" i="50" s="1"/>
  <c r="U89" i="50"/>
  <c r="AF63" i="50"/>
  <c r="AC89" i="50"/>
  <c r="AA93" i="50"/>
  <c r="AA95" i="50" s="1"/>
  <c r="W93" i="50"/>
  <c r="W105" i="50" s="1"/>
  <c r="AA104" i="50"/>
  <c r="P31" i="42"/>
  <c r="P11" i="42"/>
  <c r="P40" i="43"/>
  <c r="P31" i="43"/>
  <c r="P11" i="43"/>
  <c r="D21" i="42"/>
  <c r="H21" i="42" s="1"/>
  <c r="D21" i="35"/>
  <c r="D21" i="31"/>
  <c r="D21" i="37"/>
  <c r="H21" i="37" s="1"/>
  <c r="D21" i="34"/>
  <c r="H21" i="34" s="1"/>
  <c r="D21" i="43"/>
  <c r="H21" i="43" s="1"/>
  <c r="N40" i="42"/>
  <c r="P31" i="31"/>
  <c r="P31" i="37"/>
  <c r="P31" i="34"/>
  <c r="D26" i="35"/>
  <c r="D26" i="37"/>
  <c r="D26" i="43"/>
  <c r="Z95" i="51" l="1"/>
  <c r="W95" i="50"/>
  <c r="AB105" i="50"/>
  <c r="AB113" i="50" s="1"/>
  <c r="AB95" i="51"/>
  <c r="F21" i="34"/>
  <c r="N42" i="50"/>
  <c r="P40" i="50"/>
  <c r="P40" i="42"/>
  <c r="N42" i="42"/>
  <c r="X105" i="50"/>
  <c r="X113" i="50" s="1"/>
  <c r="W114" i="51"/>
  <c r="Y114" i="51"/>
  <c r="AD114" i="51"/>
  <c r="AC114" i="51"/>
  <c r="U114" i="51"/>
  <c r="Z114" i="51"/>
  <c r="X114" i="51"/>
  <c r="AB114" i="51"/>
  <c r="AA114" i="51"/>
  <c r="V114" i="51"/>
  <c r="T9" i="51"/>
  <c r="N15" i="51" s="1"/>
  <c r="AB105" i="51"/>
  <c r="AB112" i="51" s="1"/>
  <c r="W95" i="51"/>
  <c r="W104" i="51"/>
  <c r="AA94" i="51"/>
  <c r="AA106" i="51" s="1"/>
  <c r="AA92" i="51"/>
  <c r="Y94" i="51"/>
  <c r="Y106" i="51" s="1"/>
  <c r="Y92" i="51"/>
  <c r="AC95" i="51"/>
  <c r="AC104" i="51"/>
  <c r="AD111" i="51"/>
  <c r="X92" i="51"/>
  <c r="X94" i="51"/>
  <c r="X106" i="51" s="1"/>
  <c r="AA93" i="51"/>
  <c r="AA105" i="51" s="1"/>
  <c r="AA112" i="51" s="1"/>
  <c r="AD105" i="51"/>
  <c r="AD112" i="51" s="1"/>
  <c r="Z108" i="51"/>
  <c r="Z111" i="51"/>
  <c r="Z116" i="51" s="1"/>
  <c r="X93" i="51"/>
  <c r="X105" i="51" s="1"/>
  <c r="X112" i="51" s="1"/>
  <c r="AB111" i="51"/>
  <c r="AF65" i="51"/>
  <c r="U81" i="51"/>
  <c r="Y93" i="51"/>
  <c r="Y105" i="51" s="1"/>
  <c r="Y112" i="51" s="1"/>
  <c r="V95" i="51"/>
  <c r="V104" i="51"/>
  <c r="W113" i="50"/>
  <c r="W109" i="50"/>
  <c r="AA112" i="50"/>
  <c r="AC94" i="50"/>
  <c r="AC106" i="50" s="1"/>
  <c r="AC92" i="50"/>
  <c r="Y95" i="50"/>
  <c r="Y104" i="50"/>
  <c r="AD95" i="50"/>
  <c r="AD104" i="50"/>
  <c r="Z95" i="50"/>
  <c r="Z104" i="50"/>
  <c r="X109" i="50"/>
  <c r="X112" i="50"/>
  <c r="AC93" i="50"/>
  <c r="AC105" i="50" s="1"/>
  <c r="AC113" i="50" s="1"/>
  <c r="AA105" i="50"/>
  <c r="AA113" i="50" s="1"/>
  <c r="V95" i="50"/>
  <c r="V104" i="50"/>
  <c r="AB109" i="50"/>
  <c r="AB112" i="50"/>
  <c r="U92" i="50"/>
  <c r="U94" i="50"/>
  <c r="U106" i="50" s="1"/>
  <c r="T9" i="50"/>
  <c r="N15" i="50" s="1"/>
  <c r="AF65" i="50"/>
  <c r="F21" i="37"/>
  <c r="F21" i="43"/>
  <c r="F21" i="42"/>
  <c r="W72" i="35"/>
  <c r="X72" i="35"/>
  <c r="Y72" i="35"/>
  <c r="Z72" i="35"/>
  <c r="AA72" i="35"/>
  <c r="AB72" i="35"/>
  <c r="AC72" i="35"/>
  <c r="AD72" i="35"/>
  <c r="V72" i="35"/>
  <c r="T11" i="50" l="1"/>
  <c r="AB108" i="51"/>
  <c r="AD108" i="51"/>
  <c r="U92" i="51"/>
  <c r="U94" i="51"/>
  <c r="U106" i="51" s="1"/>
  <c r="U93" i="51"/>
  <c r="U105" i="51" s="1"/>
  <c r="U112" i="51" s="1"/>
  <c r="AC111" i="51"/>
  <c r="AC116" i="51" s="1"/>
  <c r="AC108" i="51"/>
  <c r="AC118" i="51" s="1"/>
  <c r="AA95" i="51"/>
  <c r="AA104" i="51"/>
  <c r="P15" i="51"/>
  <c r="N19" i="51"/>
  <c r="V108" i="51"/>
  <c r="V111" i="51"/>
  <c r="V116" i="51" s="1"/>
  <c r="Z118" i="51"/>
  <c r="X95" i="51"/>
  <c r="X104" i="51"/>
  <c r="AB116" i="51"/>
  <c r="AB118" i="51" s="1"/>
  <c r="AD116" i="51"/>
  <c r="AD118" i="51" s="1"/>
  <c r="Y95" i="51"/>
  <c r="Y104" i="51"/>
  <c r="W108" i="51"/>
  <c r="W111" i="51"/>
  <c r="W116" i="51" s="1"/>
  <c r="T11" i="51"/>
  <c r="T14" i="50"/>
  <c r="T13" i="50"/>
  <c r="Z112" i="50"/>
  <c r="Z109" i="50"/>
  <c r="Y112" i="50"/>
  <c r="Y109" i="50"/>
  <c r="AA109" i="50"/>
  <c r="U95" i="50"/>
  <c r="U104" i="50"/>
  <c r="V112" i="50"/>
  <c r="V109" i="50"/>
  <c r="AD112" i="50"/>
  <c r="AD109" i="50"/>
  <c r="AC95" i="50"/>
  <c r="AC104" i="50"/>
  <c r="P15" i="50"/>
  <c r="N19" i="50"/>
  <c r="I29" i="7"/>
  <c r="I27" i="7"/>
  <c r="I26" i="7"/>
  <c r="I7" i="7"/>
  <c r="I8" i="7"/>
  <c r="I9" i="7"/>
  <c r="I6" i="7"/>
  <c r="I11" i="7" s="1"/>
  <c r="AA108" i="51" l="1"/>
  <c r="AA111" i="51"/>
  <c r="AA116" i="51" s="1"/>
  <c r="V118" i="51"/>
  <c r="Y111" i="51"/>
  <c r="Y116" i="51" s="1"/>
  <c r="Y108" i="51"/>
  <c r="X111" i="51"/>
  <c r="X116" i="51" s="1"/>
  <c r="X108" i="51"/>
  <c r="T14" i="51"/>
  <c r="T13" i="51" s="1"/>
  <c r="N29" i="51"/>
  <c r="N33" i="51" s="1"/>
  <c r="P19" i="51"/>
  <c r="W118" i="51"/>
  <c r="U95" i="51"/>
  <c r="U104" i="51"/>
  <c r="N29" i="50"/>
  <c r="N33" i="50" s="1"/>
  <c r="P19" i="50"/>
  <c r="U112" i="50"/>
  <c r="U109" i="50"/>
  <c r="U17" i="50"/>
  <c r="T17" i="50"/>
  <c r="D22" i="50" s="1"/>
  <c r="T15" i="50"/>
  <c r="AC112" i="50"/>
  <c r="AC109" i="50"/>
  <c r="D25" i="31"/>
  <c r="D26" i="31" s="1"/>
  <c r="X118" i="51" l="1"/>
  <c r="T15" i="51"/>
  <c r="T17" i="51"/>
  <c r="D22" i="51" s="1"/>
  <c r="P18" i="51"/>
  <c r="U111" i="51"/>
  <c r="U116" i="51" s="1"/>
  <c r="U108" i="51"/>
  <c r="N45" i="51"/>
  <c r="N38" i="51"/>
  <c r="Y118" i="51"/>
  <c r="AA118" i="51"/>
  <c r="H22" i="50"/>
  <c r="H23" i="50" s="1"/>
  <c r="H29" i="50" s="1"/>
  <c r="H33" i="50" s="1"/>
  <c r="F22" i="50"/>
  <c r="F23" i="50" s="1"/>
  <c r="F29" i="50" s="1"/>
  <c r="D23" i="50"/>
  <c r="P18" i="50"/>
  <c r="N45" i="50"/>
  <c r="N38" i="50"/>
  <c r="AD108" i="35"/>
  <c r="AC108" i="35"/>
  <c r="AB108" i="35"/>
  <c r="AA108" i="35"/>
  <c r="Z108" i="35"/>
  <c r="Y108" i="35"/>
  <c r="X108" i="35"/>
  <c r="W108" i="35"/>
  <c r="V108" i="35"/>
  <c r="U108" i="35"/>
  <c r="B74" i="45" s="1"/>
  <c r="B74" i="47" s="1"/>
  <c r="U118" i="51" l="1"/>
  <c r="H22" i="51"/>
  <c r="H23" i="51" s="1"/>
  <c r="H29" i="51" s="1"/>
  <c r="H33" i="51" s="1"/>
  <c r="F22" i="51"/>
  <c r="F23" i="51" s="1"/>
  <c r="F29" i="51" s="1"/>
  <c r="D23" i="51"/>
  <c r="F33" i="50"/>
  <c r="P23" i="50"/>
  <c r="D29" i="50"/>
  <c r="H38" i="50"/>
  <c r="H45" i="50"/>
  <c r="C26" i="7"/>
  <c r="C27" i="7"/>
  <c r="C29" i="7"/>
  <c r="C25" i="7"/>
  <c r="B28" i="7"/>
  <c r="I28" i="7" s="1"/>
  <c r="I31" i="7" s="1"/>
  <c r="B14" i="7"/>
  <c r="B20" i="7" s="1"/>
  <c r="T115" i="43"/>
  <c r="B10" i="7"/>
  <c r="C10" i="7" s="1"/>
  <c r="C6" i="7"/>
  <c r="C7" i="7"/>
  <c r="C8" i="7"/>
  <c r="C9" i="7"/>
  <c r="C5" i="7"/>
  <c r="T115" i="42" l="1"/>
  <c r="T115" i="51"/>
  <c r="T116" i="51" s="1"/>
  <c r="T118" i="51" s="1"/>
  <c r="AF118" i="51" s="1"/>
  <c r="P23" i="51"/>
  <c r="D29" i="51"/>
  <c r="F33" i="51"/>
  <c r="H45" i="51"/>
  <c r="H38" i="51"/>
  <c r="D33" i="50"/>
  <c r="D36" i="50"/>
  <c r="P21" i="50"/>
  <c r="P29" i="50"/>
  <c r="P28" i="50" s="1"/>
  <c r="C34" i="7"/>
  <c r="C39" i="7" s="1"/>
  <c r="B30" i="7"/>
  <c r="C30" i="7" s="1"/>
  <c r="C28" i="7"/>
  <c r="B15" i="7"/>
  <c r="B34" i="7"/>
  <c r="B39" i="7" s="1"/>
  <c r="C14" i="7"/>
  <c r="C20" i="7" s="1"/>
  <c r="B13" i="7"/>
  <c r="C15" i="7"/>
  <c r="C13" i="7"/>
  <c r="C11" i="7"/>
  <c r="B11" i="7"/>
  <c r="H36" i="37"/>
  <c r="H42" i="37" s="1"/>
  <c r="AF119" i="42"/>
  <c r="AF119" i="43"/>
  <c r="D33" i="51" l="1"/>
  <c r="D36" i="51"/>
  <c r="P21" i="51"/>
  <c r="P29" i="51"/>
  <c r="P28" i="51" s="1"/>
  <c r="D42" i="50"/>
  <c r="P33" i="50"/>
  <c r="D38" i="50"/>
  <c r="B31" i="7"/>
  <c r="B33" i="7" s="1"/>
  <c r="B35" i="7" s="1"/>
  <c r="C31" i="7"/>
  <c r="C33" i="7" s="1"/>
  <c r="C35" i="7" s="1"/>
  <c r="D45" i="50" l="1"/>
  <c r="D42" i="51"/>
  <c r="D38" i="51"/>
  <c r="P33" i="51"/>
  <c r="D19" i="4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D34" i="41" s="1"/>
  <c r="D35" i="41" s="1"/>
  <c r="D36" i="41" s="1"/>
  <c r="D37" i="41" s="1"/>
  <c r="D38" i="41" s="1"/>
  <c r="D39" i="41" s="1"/>
  <c r="D40" i="41" s="1"/>
  <c r="D41" i="41" s="1"/>
  <c r="D42" i="41" s="1"/>
  <c r="D43" i="41" s="1"/>
  <c r="D44" i="41" s="1"/>
  <c r="D45" i="41" s="1"/>
  <c r="D46" i="41" s="1"/>
  <c r="D47" i="41" s="1"/>
  <c r="D48" i="41" s="1"/>
  <c r="D49" i="41" s="1"/>
  <c r="D50" i="41" s="1"/>
  <c r="D51" i="41" s="1"/>
  <c r="D52" i="41" s="1"/>
  <c r="D53" i="41" s="1"/>
  <c r="D54" i="41" s="1"/>
  <c r="D55" i="41" s="1"/>
  <c r="D56" i="41" s="1"/>
  <c r="D57" i="41" s="1"/>
  <c r="D58" i="41" s="1"/>
  <c r="D59" i="41" s="1"/>
  <c r="D60" i="41" s="1"/>
  <c r="D61" i="41" s="1"/>
  <c r="D62" i="41" s="1"/>
  <c r="D63" i="41" s="1"/>
  <c r="D64" i="41" s="1"/>
  <c r="D65" i="41" s="1"/>
  <c r="D66" i="41" s="1"/>
  <c r="D67" i="41" s="1"/>
  <c r="D45" i="51" l="1"/>
  <c r="T117" i="31" l="1"/>
  <c r="T117" i="34" l="1"/>
  <c r="T117" i="50"/>
  <c r="T118" i="50" s="1"/>
  <c r="T120" i="50" s="1"/>
  <c r="T118" i="31"/>
  <c r="E70" i="47"/>
  <c r="D9" i="47"/>
  <c r="D10" i="47" s="1"/>
  <c r="D11" i="47" s="1"/>
  <c r="D12" i="47" s="1"/>
  <c r="D13" i="47" s="1"/>
  <c r="D14" i="47" s="1"/>
  <c r="D15" i="47" s="1"/>
  <c r="D16" i="47" s="1"/>
  <c r="D17" i="47" s="1"/>
  <c r="D18" i="47" s="1"/>
  <c r="D19" i="47" s="1"/>
  <c r="D20" i="47" s="1"/>
  <c r="D21" i="47" s="1"/>
  <c r="D22" i="47" s="1"/>
  <c r="D23" i="47" s="1"/>
  <c r="D24" i="47" s="1"/>
  <c r="D25" i="47" s="1"/>
  <c r="D26" i="47" s="1"/>
  <c r="D27" i="47" s="1"/>
  <c r="D28" i="47" s="1"/>
  <c r="D29" i="47" s="1"/>
  <c r="D30" i="47" s="1"/>
  <c r="D31" i="47" s="1"/>
  <c r="D32" i="47" s="1"/>
  <c r="D33" i="47" s="1"/>
  <c r="D34" i="47" s="1"/>
  <c r="D35" i="47" s="1"/>
  <c r="D36" i="47" s="1"/>
  <c r="D37" i="47" s="1"/>
  <c r="D38" i="47" s="1"/>
  <c r="D39" i="47" s="1"/>
  <c r="D40" i="47" s="1"/>
  <c r="D41" i="47" s="1"/>
  <c r="D42" i="47" s="1"/>
  <c r="D43" i="47" s="1"/>
  <c r="D44" i="47" s="1"/>
  <c r="D45" i="47" s="1"/>
  <c r="D46" i="47" s="1"/>
  <c r="D47" i="47" s="1"/>
  <c r="D48" i="47" s="1"/>
  <c r="D49" i="47" s="1"/>
  <c r="D50" i="47" s="1"/>
  <c r="D51" i="47" s="1"/>
  <c r="D52" i="47" s="1"/>
  <c r="D53" i="47" s="1"/>
  <c r="D54" i="47" s="1"/>
  <c r="D55" i="47" s="1"/>
  <c r="D56" i="47" s="1"/>
  <c r="D57" i="47" s="1"/>
  <c r="D58" i="47" s="1"/>
  <c r="D59" i="47" s="1"/>
  <c r="D60" i="47" s="1"/>
  <c r="D61" i="47" s="1"/>
  <c r="D62" i="47" s="1"/>
  <c r="D63" i="47" s="1"/>
  <c r="D64" i="47" s="1"/>
  <c r="D65" i="47" s="1"/>
  <c r="D66" i="47" s="1"/>
  <c r="D67" i="47" s="1"/>
  <c r="E70" i="45"/>
  <c r="U114" i="43" l="1"/>
  <c r="V114" i="43" s="1"/>
  <c r="W114" i="43" s="1"/>
  <c r="X114" i="43" s="1"/>
  <c r="Y114" i="43" s="1"/>
  <c r="Z114" i="43" s="1"/>
  <c r="AA114" i="43" s="1"/>
  <c r="AB114" i="43" s="1"/>
  <c r="AC114" i="43" s="1"/>
  <c r="AD114" i="43" s="1"/>
  <c r="T116" i="43" l="1"/>
  <c r="T118" i="43" s="1"/>
  <c r="D6" i="33" s="1"/>
  <c r="H72" i="33" s="1"/>
  <c r="AD73" i="43"/>
  <c r="AC73" i="43"/>
  <c r="AC75" i="43" s="1"/>
  <c r="F16" i="41" s="1"/>
  <c r="AB73" i="43"/>
  <c r="AB75" i="43" s="1"/>
  <c r="F15" i="41" s="1"/>
  <c r="AA73" i="43"/>
  <c r="AA75" i="43" s="1"/>
  <c r="F14" i="41" s="1"/>
  <c r="Z73" i="43"/>
  <c r="Y73" i="43"/>
  <c r="X73" i="43"/>
  <c r="W73" i="43"/>
  <c r="W75" i="43" s="1"/>
  <c r="F10" i="41" s="1"/>
  <c r="V73" i="43"/>
  <c r="U73" i="43"/>
  <c r="AF71" i="43"/>
  <c r="H36" i="43"/>
  <c r="H42" i="43" s="1"/>
  <c r="H28" i="43"/>
  <c r="F28" i="43"/>
  <c r="D28" i="43"/>
  <c r="H26" i="43"/>
  <c r="F26" i="43"/>
  <c r="P26" i="43" s="1"/>
  <c r="P25" i="43" s="1"/>
  <c r="T21" i="43"/>
  <c r="N18" i="43" s="1"/>
  <c r="H19" i="43"/>
  <c r="F19" i="43"/>
  <c r="D19" i="43"/>
  <c r="H13" i="43"/>
  <c r="F13" i="43"/>
  <c r="D13" i="43"/>
  <c r="F8" i="43"/>
  <c r="F6" i="43" s="1"/>
  <c r="D8" i="43"/>
  <c r="D6" i="43" s="1"/>
  <c r="H6" i="43"/>
  <c r="T116" i="42"/>
  <c r="T118" i="42" s="1"/>
  <c r="E6" i="33" s="1"/>
  <c r="AD73" i="42"/>
  <c r="AC73" i="42"/>
  <c r="AC75" i="42" s="1"/>
  <c r="AB73" i="42"/>
  <c r="AA73" i="42"/>
  <c r="Z73" i="42"/>
  <c r="Y73" i="42"/>
  <c r="Y75" i="42" s="1"/>
  <c r="X73" i="42"/>
  <c r="W73" i="42"/>
  <c r="V73" i="42"/>
  <c r="V75" i="42" s="1"/>
  <c r="U73" i="42"/>
  <c r="U75" i="42" s="1"/>
  <c r="AF71" i="42"/>
  <c r="E71" i="41"/>
  <c r="H35" i="42"/>
  <c r="H36" i="42" s="1"/>
  <c r="H42" i="42" s="1"/>
  <c r="F35" i="42"/>
  <c r="D35" i="42"/>
  <c r="H25" i="42"/>
  <c r="F25" i="42"/>
  <c r="F28" i="42" s="1"/>
  <c r="D25" i="42"/>
  <c r="T21" i="42"/>
  <c r="N18" i="42" s="1"/>
  <c r="H19" i="42"/>
  <c r="F19" i="42"/>
  <c r="D19" i="42"/>
  <c r="H13" i="42"/>
  <c r="F13" i="42"/>
  <c r="D13" i="42"/>
  <c r="AD70" i="42"/>
  <c r="F8" i="42"/>
  <c r="F6" i="42" s="1"/>
  <c r="D8" i="42"/>
  <c r="D6" i="42" s="1"/>
  <c r="H6" i="42"/>
  <c r="D72" i="41"/>
  <c r="E70" i="41"/>
  <c r="E71" i="47"/>
  <c r="E72" i="47" s="1"/>
  <c r="H35" i="34"/>
  <c r="F35" i="34"/>
  <c r="D35" i="34"/>
  <c r="D35" i="31"/>
  <c r="H13" i="37"/>
  <c r="F13" i="37"/>
  <c r="D13" i="37"/>
  <c r="H13" i="34"/>
  <c r="F13" i="34"/>
  <c r="D13" i="34"/>
  <c r="P6" i="43" l="1"/>
  <c r="L16" i="41"/>
  <c r="R16" i="41" s="1"/>
  <c r="C15" i="33"/>
  <c r="P6" i="42"/>
  <c r="C7" i="33"/>
  <c r="L8" i="41"/>
  <c r="C11" i="33"/>
  <c r="L12" i="41"/>
  <c r="C8" i="33"/>
  <c r="L9" i="41"/>
  <c r="D7" i="42"/>
  <c r="Y70" i="43"/>
  <c r="D28" i="42"/>
  <c r="D26" i="42"/>
  <c r="V78" i="42"/>
  <c r="V80" i="42" s="1"/>
  <c r="AB78" i="43"/>
  <c r="AB80" i="43" s="1"/>
  <c r="Y70" i="42"/>
  <c r="Y64" i="42" s="1"/>
  <c r="U70" i="42"/>
  <c r="U64" i="42" s="1"/>
  <c r="E71" i="45"/>
  <c r="E72" i="45" s="1"/>
  <c r="X68" i="42"/>
  <c r="X62" i="42" s="1"/>
  <c r="AC70" i="42"/>
  <c r="AC64" i="42" s="1"/>
  <c r="E72" i="41"/>
  <c r="AB68" i="42"/>
  <c r="AB62" i="42" s="1"/>
  <c r="D7" i="43"/>
  <c r="AD113" i="42"/>
  <c r="AD87" i="42"/>
  <c r="AD100" i="42"/>
  <c r="AD64" i="42"/>
  <c r="H7" i="42"/>
  <c r="H9" i="42" s="1"/>
  <c r="F26" i="42"/>
  <c r="V68" i="42"/>
  <c r="Z68" i="42"/>
  <c r="AD68" i="42"/>
  <c r="W70" i="42"/>
  <c r="AA70" i="42"/>
  <c r="V88" i="42"/>
  <c r="V107" i="42" s="1"/>
  <c r="Z88" i="42"/>
  <c r="Z107" i="42" s="1"/>
  <c r="AD88" i="42"/>
  <c r="AD107" i="42" s="1"/>
  <c r="Y78" i="42"/>
  <c r="Y80" i="42" s="1"/>
  <c r="Y113" i="43"/>
  <c r="Y87" i="43"/>
  <c r="Y100" i="43"/>
  <c r="Y64" i="43"/>
  <c r="H26" i="42"/>
  <c r="H28" i="42"/>
  <c r="W68" i="42"/>
  <c r="AA68" i="42"/>
  <c r="X70" i="42"/>
  <c r="X69" i="42" s="1"/>
  <c r="AB70" i="42"/>
  <c r="W88" i="42"/>
  <c r="W107" i="42" s="1"/>
  <c r="AA75" i="42"/>
  <c r="AA88" i="42"/>
  <c r="AA107" i="42" s="1"/>
  <c r="U78" i="42"/>
  <c r="U80" i="42" s="1"/>
  <c r="Z75" i="42"/>
  <c r="F99" i="42"/>
  <c r="F95" i="42"/>
  <c r="F100" i="42"/>
  <c r="F98" i="42"/>
  <c r="F97" i="42"/>
  <c r="F96" i="42"/>
  <c r="F94" i="42"/>
  <c r="X98" i="42"/>
  <c r="X85" i="42"/>
  <c r="AB98" i="42"/>
  <c r="AB85" i="42"/>
  <c r="Y113" i="42"/>
  <c r="Y100" i="42"/>
  <c r="Y87" i="42"/>
  <c r="X88" i="42"/>
  <c r="X107" i="42" s="1"/>
  <c r="X75" i="42"/>
  <c r="AB88" i="42"/>
  <c r="AB107" i="42" s="1"/>
  <c r="AB75" i="42"/>
  <c r="AC78" i="42"/>
  <c r="AC80" i="42" s="1"/>
  <c r="T5" i="42"/>
  <c r="F7" i="42"/>
  <c r="F9" i="42" s="1"/>
  <c r="U68" i="42"/>
  <c r="Y68" i="42"/>
  <c r="AC68" i="42"/>
  <c r="V70" i="42"/>
  <c r="Z70" i="42"/>
  <c r="U88" i="42"/>
  <c r="U107" i="42" s="1"/>
  <c r="Y88" i="42"/>
  <c r="Y107" i="42" s="1"/>
  <c r="AC88" i="42"/>
  <c r="AC107" i="42" s="1"/>
  <c r="W75" i="42"/>
  <c r="AD75" i="42"/>
  <c r="T5" i="43"/>
  <c r="AD68" i="43"/>
  <c r="AB70" i="43"/>
  <c r="X70" i="43"/>
  <c r="Z70" i="43"/>
  <c r="U70" i="43"/>
  <c r="AA68" i="43"/>
  <c r="W68" i="43"/>
  <c r="AC70" i="43"/>
  <c r="W70" i="43"/>
  <c r="AC68" i="43"/>
  <c r="Y68" i="43"/>
  <c r="U68" i="43"/>
  <c r="AA70" i="43"/>
  <c r="V70" i="43"/>
  <c r="AB68" i="43"/>
  <c r="X68" i="43"/>
  <c r="AD70" i="43"/>
  <c r="V68" i="43"/>
  <c r="H7" i="43"/>
  <c r="H9" i="43" s="1"/>
  <c r="F7" i="43"/>
  <c r="Z68" i="43"/>
  <c r="U75" i="43"/>
  <c r="F8" i="41" s="1"/>
  <c r="R8" i="41" s="1"/>
  <c r="U88" i="43"/>
  <c r="U107" i="43" s="1"/>
  <c r="Y75" i="43"/>
  <c r="F12" i="41" s="1"/>
  <c r="Y88" i="43"/>
  <c r="Y107" i="43" s="1"/>
  <c r="AC78" i="43"/>
  <c r="AC80" i="43" s="1"/>
  <c r="AC88" i="43"/>
  <c r="AC107" i="43" s="1"/>
  <c r="W88" i="43"/>
  <c r="W107" i="43" s="1"/>
  <c r="AA88" i="43"/>
  <c r="AA107" i="43" s="1"/>
  <c r="W78" i="43"/>
  <c r="W80" i="43" s="1"/>
  <c r="X75" i="43"/>
  <c r="F11" i="41" s="1"/>
  <c r="X88" i="43"/>
  <c r="X107" i="43" s="1"/>
  <c r="AA78" i="43"/>
  <c r="AA80" i="43" s="1"/>
  <c r="V88" i="43"/>
  <c r="V107" i="43" s="1"/>
  <c r="Z88" i="43"/>
  <c r="Z107" i="43" s="1"/>
  <c r="AD88" i="43"/>
  <c r="AD107" i="43" s="1"/>
  <c r="V75" i="43"/>
  <c r="F9" i="41" s="1"/>
  <c r="R9" i="41" s="1"/>
  <c r="Z75" i="43"/>
  <c r="F13" i="41" s="1"/>
  <c r="AD75" i="43"/>
  <c r="F17" i="41" s="1"/>
  <c r="AB88" i="43"/>
  <c r="AB107" i="43" s="1"/>
  <c r="C9" i="33" l="1"/>
  <c r="L10" i="41"/>
  <c r="R10" i="41" s="1"/>
  <c r="L15" i="41"/>
  <c r="R15" i="41" s="1"/>
  <c r="C14" i="33"/>
  <c r="D9" i="42"/>
  <c r="P9" i="42" s="1"/>
  <c r="P7" i="42"/>
  <c r="P8" i="42" s="1"/>
  <c r="R12" i="41"/>
  <c r="H7" i="33"/>
  <c r="K12" i="41"/>
  <c r="H8" i="33" s="1"/>
  <c r="L11" i="41"/>
  <c r="R11" i="41" s="1"/>
  <c r="C10" i="33"/>
  <c r="C13" i="33"/>
  <c r="L14" i="41"/>
  <c r="R14" i="41" s="1"/>
  <c r="D9" i="43"/>
  <c r="P7" i="43"/>
  <c r="P8" i="43" s="1"/>
  <c r="F18" i="41"/>
  <c r="C16" i="33"/>
  <c r="L17" i="41"/>
  <c r="L18" i="41" s="1"/>
  <c r="L19" i="41" s="1"/>
  <c r="L20" i="41" s="1"/>
  <c r="L21" i="41" s="1"/>
  <c r="L22" i="41" s="1"/>
  <c r="L23" i="41" s="1"/>
  <c r="L24" i="41" s="1"/>
  <c r="L25" i="41" s="1"/>
  <c r="L26" i="41" s="1"/>
  <c r="L27" i="41" s="1"/>
  <c r="L28" i="41" s="1"/>
  <c r="L29" i="41" s="1"/>
  <c r="L30" i="41" s="1"/>
  <c r="L31" i="41" s="1"/>
  <c r="L32" i="41" s="1"/>
  <c r="L33" i="41" s="1"/>
  <c r="L34" i="41" s="1"/>
  <c r="L35" i="41" s="1"/>
  <c r="L36" i="41" s="1"/>
  <c r="L37" i="41" s="1"/>
  <c r="L38" i="41" s="1"/>
  <c r="L39" i="41" s="1"/>
  <c r="L40" i="41" s="1"/>
  <c r="L41" i="41" s="1"/>
  <c r="L42" i="41" s="1"/>
  <c r="L43" i="41" s="1"/>
  <c r="L44" i="41" s="1"/>
  <c r="L45" i="41" s="1"/>
  <c r="L46" i="41" s="1"/>
  <c r="L47" i="41" s="1"/>
  <c r="L48" i="41" s="1"/>
  <c r="L49" i="41" s="1"/>
  <c r="L50" i="41" s="1"/>
  <c r="L51" i="41" s="1"/>
  <c r="L52" i="41" s="1"/>
  <c r="L53" i="41" s="1"/>
  <c r="L54" i="41" s="1"/>
  <c r="L55" i="41" s="1"/>
  <c r="L56" i="41" s="1"/>
  <c r="L57" i="41" s="1"/>
  <c r="L58" i="41" s="1"/>
  <c r="L59" i="41" s="1"/>
  <c r="L60" i="41" s="1"/>
  <c r="L61" i="41" s="1"/>
  <c r="L62" i="41" s="1"/>
  <c r="L63" i="41" s="1"/>
  <c r="L64" i="41" s="1"/>
  <c r="L65" i="41" s="1"/>
  <c r="L66" i="41" s="1"/>
  <c r="L67" i="41" s="1"/>
  <c r="C12" i="33"/>
  <c r="L13" i="41"/>
  <c r="R13" i="41" s="1"/>
  <c r="P26" i="42"/>
  <c r="P25" i="42" s="1"/>
  <c r="AC87" i="42"/>
  <c r="AC113" i="42"/>
  <c r="U100" i="42"/>
  <c r="G19" i="41"/>
  <c r="M18" i="41"/>
  <c r="AC100" i="42"/>
  <c r="U113" i="42"/>
  <c r="F9" i="43"/>
  <c r="AF70" i="42"/>
  <c r="U87" i="42"/>
  <c r="AD78" i="43"/>
  <c r="AD80" i="43" s="1"/>
  <c r="V78" i="43"/>
  <c r="V80" i="43" s="1"/>
  <c r="Z98" i="43"/>
  <c r="Z85" i="43"/>
  <c r="Z69" i="43"/>
  <c r="Z62" i="43"/>
  <c r="AD100" i="43"/>
  <c r="AD113" i="43"/>
  <c r="AD87" i="43"/>
  <c r="AD64" i="43"/>
  <c r="AB85" i="43"/>
  <c r="AB98" i="43"/>
  <c r="AB69" i="43"/>
  <c r="AB62" i="43"/>
  <c r="Y85" i="43"/>
  <c r="Y62" i="43"/>
  <c r="Y98" i="43"/>
  <c r="Y69" i="43"/>
  <c r="Z100" i="43"/>
  <c r="Z113" i="43"/>
  <c r="Z87" i="43"/>
  <c r="Z64" i="43"/>
  <c r="AD98" i="43"/>
  <c r="AD85" i="43"/>
  <c r="AD62" i="43"/>
  <c r="AD69" i="43"/>
  <c r="AD78" i="42"/>
  <c r="AD80" i="42" s="1"/>
  <c r="AC98" i="42"/>
  <c r="AC85" i="42"/>
  <c r="AC69" i="42"/>
  <c r="AC62" i="42"/>
  <c r="AB114" i="42"/>
  <c r="X114" i="42"/>
  <c r="Z114" i="42"/>
  <c r="U114" i="42"/>
  <c r="AD114" i="42"/>
  <c r="Y114" i="42"/>
  <c r="AC114" i="42"/>
  <c r="W114" i="42"/>
  <c r="AA114" i="42"/>
  <c r="V114" i="42"/>
  <c r="X78" i="42"/>
  <c r="X80" i="42" s="1"/>
  <c r="X86" i="42"/>
  <c r="X99" i="42"/>
  <c r="X63" i="42"/>
  <c r="AA78" i="42"/>
  <c r="AA80" i="42" s="1"/>
  <c r="AA85" i="42"/>
  <c r="AA98" i="42"/>
  <c r="AA62" i="42"/>
  <c r="AA69" i="42"/>
  <c r="AA87" i="42"/>
  <c r="AA100" i="42"/>
  <c r="AA113" i="42"/>
  <c r="AA64" i="42"/>
  <c r="Z85" i="42"/>
  <c r="Z98" i="42"/>
  <c r="Z62" i="42"/>
  <c r="Z69" i="42"/>
  <c r="X78" i="43"/>
  <c r="X80" i="43" s="1"/>
  <c r="Y78" i="43"/>
  <c r="Y80" i="43" s="1"/>
  <c r="V98" i="43"/>
  <c r="V85" i="43"/>
  <c r="V69" i="43"/>
  <c r="V62" i="43"/>
  <c r="V100" i="43"/>
  <c r="V113" i="43"/>
  <c r="V87" i="43"/>
  <c r="V64" i="43"/>
  <c r="AC85" i="43"/>
  <c r="AC62" i="43"/>
  <c r="AC98" i="43"/>
  <c r="AC69" i="43"/>
  <c r="W98" i="43"/>
  <c r="W69" i="43"/>
  <c r="W85" i="43"/>
  <c r="W62" i="43"/>
  <c r="X113" i="43"/>
  <c r="X87" i="43"/>
  <c r="X100" i="43"/>
  <c r="X64" i="43"/>
  <c r="W78" i="42"/>
  <c r="W80" i="42" s="1"/>
  <c r="Z113" i="42"/>
  <c r="Z87" i="42"/>
  <c r="Z100" i="42"/>
  <c r="Z64" i="42"/>
  <c r="Y98" i="42"/>
  <c r="Y85" i="42"/>
  <c r="Y69" i="42"/>
  <c r="Y62" i="42"/>
  <c r="W85" i="42"/>
  <c r="W98" i="42"/>
  <c r="W62" i="42"/>
  <c r="W69" i="42"/>
  <c r="W87" i="42"/>
  <c r="W113" i="42"/>
  <c r="W100" i="42"/>
  <c r="W64" i="42"/>
  <c r="V85" i="42"/>
  <c r="V98" i="42"/>
  <c r="V62" i="42"/>
  <c r="V69" i="42"/>
  <c r="AA100" i="43"/>
  <c r="AA87" i="43"/>
  <c r="AA113" i="43"/>
  <c r="AA64" i="43"/>
  <c r="W100" i="43"/>
  <c r="W113" i="43"/>
  <c r="W87" i="43"/>
  <c r="W64" i="43"/>
  <c r="AA98" i="43"/>
  <c r="AA69" i="43"/>
  <c r="AA62" i="43"/>
  <c r="AA85" i="43"/>
  <c r="AB113" i="43"/>
  <c r="AB87" i="43"/>
  <c r="AB100" i="43"/>
  <c r="AB64" i="43"/>
  <c r="V113" i="42"/>
  <c r="V87" i="42"/>
  <c r="V100" i="42"/>
  <c r="V64" i="42"/>
  <c r="U98" i="42"/>
  <c r="U85" i="42"/>
  <c r="U69" i="42"/>
  <c r="AF68" i="42"/>
  <c r="U62" i="42"/>
  <c r="AB78" i="42"/>
  <c r="AB80" i="42" s="1"/>
  <c r="AB100" i="42"/>
  <c r="AB113" i="42"/>
  <c r="AB87" i="42"/>
  <c r="AB64" i="42"/>
  <c r="Z78" i="43"/>
  <c r="Z80" i="43" s="1"/>
  <c r="U78" i="43"/>
  <c r="U80" i="43" s="1"/>
  <c r="X85" i="43"/>
  <c r="X98" i="43"/>
  <c r="X69" i="43"/>
  <c r="X62" i="43"/>
  <c r="U85" i="43"/>
  <c r="AF68" i="43"/>
  <c r="U69" i="43"/>
  <c r="U62" i="43"/>
  <c r="U98" i="43"/>
  <c r="AC113" i="43"/>
  <c r="AC87" i="43"/>
  <c r="AC100" i="43"/>
  <c r="AC64" i="43"/>
  <c r="AF70" i="43"/>
  <c r="U113" i="43"/>
  <c r="U87" i="43"/>
  <c r="U100" i="43"/>
  <c r="U64" i="43"/>
  <c r="AB69" i="42"/>
  <c r="Z78" i="42"/>
  <c r="Z80" i="42" s="1"/>
  <c r="X113" i="42"/>
  <c r="X100" i="42"/>
  <c r="X87" i="42"/>
  <c r="X64" i="42"/>
  <c r="AD85" i="42"/>
  <c r="AD98" i="42"/>
  <c r="AD62" i="42"/>
  <c r="AD69" i="42"/>
  <c r="B50" i="33"/>
  <c r="C50" i="33"/>
  <c r="H25" i="34"/>
  <c r="F25" i="34"/>
  <c r="D25" i="34"/>
  <c r="D26" i="34" s="1"/>
  <c r="AD73" i="37"/>
  <c r="AD75" i="37" s="1"/>
  <c r="AC73" i="37"/>
  <c r="AB73" i="37"/>
  <c r="AB75" i="37" s="1"/>
  <c r="AA73" i="37"/>
  <c r="Z73" i="37"/>
  <c r="Y73" i="37"/>
  <c r="X73" i="37"/>
  <c r="X75" i="37" s="1"/>
  <c r="W73" i="37"/>
  <c r="V73" i="37"/>
  <c r="V75" i="37" s="1"/>
  <c r="U73" i="37"/>
  <c r="U75" i="37" s="1"/>
  <c r="AF71" i="37"/>
  <c r="P40" i="37"/>
  <c r="L29" i="37"/>
  <c r="L33" i="37" s="1"/>
  <c r="H28" i="37"/>
  <c r="F28" i="37"/>
  <c r="D28" i="37"/>
  <c r="H26" i="37"/>
  <c r="F26" i="37"/>
  <c r="T21" i="37"/>
  <c r="N18" i="37" s="1"/>
  <c r="H19" i="37"/>
  <c r="F19" i="37"/>
  <c r="D19" i="37"/>
  <c r="P16" i="37"/>
  <c r="P11" i="37"/>
  <c r="F8" i="37"/>
  <c r="F6" i="37" s="1"/>
  <c r="D8" i="37"/>
  <c r="D6" i="37" s="1"/>
  <c r="H6" i="37"/>
  <c r="L94" i="34"/>
  <c r="L95" i="34" s="1"/>
  <c r="L96" i="34" s="1"/>
  <c r="L97" i="34" s="1"/>
  <c r="L98" i="34" s="1"/>
  <c r="L99" i="34" s="1"/>
  <c r="L100" i="34" s="1"/>
  <c r="T117" i="37"/>
  <c r="T118" i="37" s="1"/>
  <c r="T120" i="37" s="1"/>
  <c r="D50" i="33" s="1"/>
  <c r="T6" i="43" l="1"/>
  <c r="U6" i="43" s="1"/>
  <c r="C54" i="33"/>
  <c r="F11" i="47"/>
  <c r="C58" i="33"/>
  <c r="F15" i="47"/>
  <c r="X101" i="42"/>
  <c r="F8" i="47"/>
  <c r="C51" i="33"/>
  <c r="P9" i="43"/>
  <c r="C52" i="33"/>
  <c r="F9" i="47"/>
  <c r="G18" i="47"/>
  <c r="G19" i="47" s="1"/>
  <c r="F17" i="47"/>
  <c r="C60" i="33"/>
  <c r="D64" i="33" s="1"/>
  <c r="R17" i="41"/>
  <c r="F19" i="41"/>
  <c r="R18" i="41"/>
  <c r="M19" i="41"/>
  <c r="M20" i="41" s="1"/>
  <c r="S18" i="41"/>
  <c r="G20" i="41"/>
  <c r="X89" i="42"/>
  <c r="X78" i="37"/>
  <c r="X80" i="37" s="1"/>
  <c r="AB78" i="37"/>
  <c r="AB80" i="37" s="1"/>
  <c r="T7" i="43"/>
  <c r="T9" i="43" s="1"/>
  <c r="N15" i="43" s="1"/>
  <c r="P15" i="43" s="1"/>
  <c r="AF64" i="43"/>
  <c r="U99" i="43"/>
  <c r="AF69" i="43"/>
  <c r="U86" i="43"/>
  <c r="U89" i="43" s="1"/>
  <c r="U63" i="43"/>
  <c r="U65" i="43" s="1"/>
  <c r="X99" i="43"/>
  <c r="X86" i="43"/>
  <c r="X63" i="43"/>
  <c r="X65" i="43" s="1"/>
  <c r="X81" i="43" s="1"/>
  <c r="AF64" i="42"/>
  <c r="AC86" i="42"/>
  <c r="AC89" i="42" s="1"/>
  <c r="AC99" i="42"/>
  <c r="AC101" i="42" s="1"/>
  <c r="AC63" i="42"/>
  <c r="AC65" i="42" s="1"/>
  <c r="AC81" i="42" s="1"/>
  <c r="AC94" i="42" s="1"/>
  <c r="AC106" i="42" s="1"/>
  <c r="X101" i="43"/>
  <c r="U86" i="42"/>
  <c r="U89" i="42" s="1"/>
  <c r="U99" i="42"/>
  <c r="U101" i="42" s="1"/>
  <c r="U63" i="42"/>
  <c r="U65" i="42" s="1"/>
  <c r="AF69" i="42"/>
  <c r="V99" i="42"/>
  <c r="V101" i="42" s="1"/>
  <c r="V86" i="42"/>
  <c r="V63" i="42"/>
  <c r="V65" i="42" s="1"/>
  <c r="V81" i="42" s="1"/>
  <c r="V92" i="42" s="1"/>
  <c r="T6" i="42"/>
  <c r="W86" i="43"/>
  <c r="W63" i="43"/>
  <c r="W65" i="43" s="1"/>
  <c r="W81" i="43" s="1"/>
  <c r="W92" i="43" s="1"/>
  <c r="W99" i="43"/>
  <c r="W101" i="43" s="1"/>
  <c r="V86" i="43"/>
  <c r="V89" i="43" s="1"/>
  <c r="V99" i="43"/>
  <c r="V101" i="43" s="1"/>
  <c r="V63" i="43"/>
  <c r="Z99" i="42"/>
  <c r="Z101" i="42" s="1"/>
  <c r="Z86" i="42"/>
  <c r="Z63" i="42"/>
  <c r="AD86" i="43"/>
  <c r="AD99" i="43"/>
  <c r="AD101" i="43" s="1"/>
  <c r="AD63" i="43"/>
  <c r="AD65" i="43" s="1"/>
  <c r="AD81" i="43" s="1"/>
  <c r="Y99" i="43"/>
  <c r="Y101" i="43" s="1"/>
  <c r="Y63" i="43"/>
  <c r="Y65" i="43" s="1"/>
  <c r="Y81" i="43" s="1"/>
  <c r="Y86" i="43"/>
  <c r="AD99" i="42"/>
  <c r="AD101" i="42" s="1"/>
  <c r="AD86" i="42"/>
  <c r="AD89" i="42" s="1"/>
  <c r="AD63" i="42"/>
  <c r="AD65" i="42" s="1"/>
  <c r="AD81" i="42" s="1"/>
  <c r="W99" i="42"/>
  <c r="W101" i="42" s="1"/>
  <c r="W86" i="42"/>
  <c r="W63" i="42"/>
  <c r="W65" i="42" s="1"/>
  <c r="W81" i="42" s="1"/>
  <c r="Y86" i="42"/>
  <c r="Y89" i="42" s="1"/>
  <c r="Y99" i="42"/>
  <c r="Y101" i="42" s="1"/>
  <c r="Y63" i="42"/>
  <c r="Z65" i="42"/>
  <c r="Z81" i="42" s="1"/>
  <c r="AB99" i="43"/>
  <c r="AB101" i="43" s="1"/>
  <c r="AB86" i="43"/>
  <c r="AB63" i="43"/>
  <c r="AB86" i="42"/>
  <c r="AB99" i="42"/>
  <c r="AB101" i="42" s="1"/>
  <c r="AB63" i="42"/>
  <c r="U101" i="43"/>
  <c r="AF62" i="43"/>
  <c r="AF62" i="42"/>
  <c r="AA86" i="43"/>
  <c r="AA89" i="43" s="1"/>
  <c r="AA63" i="43"/>
  <c r="AA99" i="43"/>
  <c r="AA101" i="43" s="1"/>
  <c r="AC99" i="43"/>
  <c r="AC101" i="43" s="1"/>
  <c r="AC86" i="43"/>
  <c r="AC63" i="43"/>
  <c r="AC65" i="43" s="1"/>
  <c r="AC81" i="43" s="1"/>
  <c r="AA99" i="42"/>
  <c r="AA101" i="42" s="1"/>
  <c r="AA86" i="42"/>
  <c r="AA63" i="42"/>
  <c r="X65" i="42"/>
  <c r="X81" i="42" s="1"/>
  <c r="AD89" i="43"/>
  <c r="Z86" i="43"/>
  <c r="Z89" i="43" s="1"/>
  <c r="Z99" i="43"/>
  <c r="Z101" i="43" s="1"/>
  <c r="Z63" i="43"/>
  <c r="P26" i="37"/>
  <c r="P25" i="37" s="1"/>
  <c r="H7" i="37"/>
  <c r="H9" i="37" s="1"/>
  <c r="F7" i="37"/>
  <c r="F9" i="37" s="1"/>
  <c r="AB88" i="37"/>
  <c r="AB107" i="37" s="1"/>
  <c r="X88" i="37"/>
  <c r="X107" i="37" s="1"/>
  <c r="P6" i="37"/>
  <c r="T5" i="37" s="1"/>
  <c r="V78" i="37"/>
  <c r="V80" i="37" s="1"/>
  <c r="AD78" i="37"/>
  <c r="AD80" i="37" s="1"/>
  <c r="D7" i="37"/>
  <c r="D9" i="37" s="1"/>
  <c r="AA70" i="37"/>
  <c r="W70" i="37"/>
  <c r="AD68" i="37"/>
  <c r="Z68" i="37"/>
  <c r="V68" i="37"/>
  <c r="AD70" i="37"/>
  <c r="Z70" i="37"/>
  <c r="V70" i="37"/>
  <c r="AC68" i="37"/>
  <c r="Y68" i="37"/>
  <c r="U68" i="37"/>
  <c r="AC70" i="37"/>
  <c r="Y70" i="37"/>
  <c r="U70" i="37"/>
  <c r="AB68" i="37"/>
  <c r="X68" i="37"/>
  <c r="X70" i="37"/>
  <c r="AA68" i="37"/>
  <c r="W68" i="37"/>
  <c r="AB70" i="37"/>
  <c r="AD116" i="37"/>
  <c r="Z116" i="37"/>
  <c r="V116" i="37"/>
  <c r="AC116" i="37"/>
  <c r="Y116" i="37"/>
  <c r="U116" i="37"/>
  <c r="AB116" i="37"/>
  <c r="X116" i="37"/>
  <c r="AA116" i="37"/>
  <c r="W116" i="37"/>
  <c r="W88" i="37"/>
  <c r="W107" i="37" s="1"/>
  <c r="AA88" i="37"/>
  <c r="AA107" i="37" s="1"/>
  <c r="U78" i="37"/>
  <c r="U80" i="37" s="1"/>
  <c r="AA75" i="37"/>
  <c r="U88" i="37"/>
  <c r="U107" i="37" s="1"/>
  <c r="Y75" i="37"/>
  <c r="Y88" i="37"/>
  <c r="Y107" i="37" s="1"/>
  <c r="AC75" i="37"/>
  <c r="AC88" i="37"/>
  <c r="AC107" i="37" s="1"/>
  <c r="W75" i="37"/>
  <c r="V88" i="37"/>
  <c r="V107" i="37" s="1"/>
  <c r="Z88" i="37"/>
  <c r="Z107" i="37" s="1"/>
  <c r="AD88" i="37"/>
  <c r="AD107" i="37" s="1"/>
  <c r="Z75" i="37"/>
  <c r="S19" i="41" l="1"/>
  <c r="C56" i="33"/>
  <c r="F13" i="47"/>
  <c r="C53" i="33"/>
  <c r="F10" i="47"/>
  <c r="F12" i="47"/>
  <c r="C55" i="33"/>
  <c r="W17" i="41"/>
  <c r="J8" i="33" s="1"/>
  <c r="H74" i="33" s="1"/>
  <c r="J7" i="33"/>
  <c r="H71" i="33" s="1"/>
  <c r="F16" i="47"/>
  <c r="C59" i="33"/>
  <c r="D20" i="33"/>
  <c r="E20" i="33" s="1"/>
  <c r="E64" i="33"/>
  <c r="C57" i="33"/>
  <c r="F14" i="47"/>
  <c r="F18" i="47"/>
  <c r="F20" i="41"/>
  <c r="R19" i="41"/>
  <c r="G21" i="41"/>
  <c r="G22" i="41" s="1"/>
  <c r="S20" i="41"/>
  <c r="M21" i="41"/>
  <c r="M22" i="41" s="1"/>
  <c r="M23" i="41" s="1"/>
  <c r="M24" i="41" s="1"/>
  <c r="M25" i="41" s="1"/>
  <c r="M26" i="41" s="1"/>
  <c r="M27" i="41" s="1"/>
  <c r="M28" i="41" s="1"/>
  <c r="M29" i="41" s="1"/>
  <c r="M30" i="41" s="1"/>
  <c r="M31" i="41" s="1"/>
  <c r="M32" i="41" s="1"/>
  <c r="M33" i="41" s="1"/>
  <c r="G20" i="47"/>
  <c r="X92" i="42"/>
  <c r="X104" i="42" s="1"/>
  <c r="X93" i="42"/>
  <c r="X105" i="42" s="1"/>
  <c r="X112" i="42" s="1"/>
  <c r="T11" i="43"/>
  <c r="AD94" i="42"/>
  <c r="AD106" i="42" s="1"/>
  <c r="AD92" i="42"/>
  <c r="Z92" i="42"/>
  <c r="Z94" i="42"/>
  <c r="Z106" i="42" s="1"/>
  <c r="W104" i="43"/>
  <c r="X92" i="43"/>
  <c r="X94" i="43"/>
  <c r="X106" i="43" s="1"/>
  <c r="AD92" i="43"/>
  <c r="AD94" i="43"/>
  <c r="AD106" i="43" s="1"/>
  <c r="V104" i="42"/>
  <c r="Y94" i="43"/>
  <c r="Y106" i="43" s="1"/>
  <c r="Y92" i="43"/>
  <c r="AC92" i="43"/>
  <c r="AC94" i="43"/>
  <c r="AC106" i="43" s="1"/>
  <c r="W94" i="42"/>
  <c r="W106" i="42" s="1"/>
  <c r="W92" i="42"/>
  <c r="AD93" i="43"/>
  <c r="AD105" i="43" s="1"/>
  <c r="AD112" i="43" s="1"/>
  <c r="Z93" i="42"/>
  <c r="Z105" i="42" s="1"/>
  <c r="Z112" i="42" s="1"/>
  <c r="W89" i="42"/>
  <c r="V93" i="42"/>
  <c r="W94" i="43"/>
  <c r="W106" i="43" s="1"/>
  <c r="T14" i="43"/>
  <c r="T13" i="43" s="1"/>
  <c r="T17" i="43" s="1"/>
  <c r="D22" i="43" s="1"/>
  <c r="AB65" i="42"/>
  <c r="AB81" i="42" s="1"/>
  <c r="AC89" i="43"/>
  <c r="AA65" i="43"/>
  <c r="AA81" i="43" s="1"/>
  <c r="AA93" i="43" s="1"/>
  <c r="AA105" i="43" s="1"/>
  <c r="AA112" i="43" s="1"/>
  <c r="AD93" i="42"/>
  <c r="AD105" i="42" s="1"/>
  <c r="AD112" i="42" s="1"/>
  <c r="Y93" i="43"/>
  <c r="Y105" i="43" s="1"/>
  <c r="Y112" i="43" s="1"/>
  <c r="W93" i="43"/>
  <c r="W105" i="43" s="1"/>
  <c r="W112" i="43" s="1"/>
  <c r="Y65" i="42"/>
  <c r="Y81" i="42" s="1"/>
  <c r="Y93" i="42" s="1"/>
  <c r="Y105" i="42" s="1"/>
  <c r="Y112" i="42" s="1"/>
  <c r="U6" i="42"/>
  <c r="T7" i="42"/>
  <c r="AF63" i="42"/>
  <c r="Y89" i="43"/>
  <c r="V89" i="42"/>
  <c r="X89" i="43"/>
  <c r="U81" i="42"/>
  <c r="Z65" i="43"/>
  <c r="Z81" i="43" s="1"/>
  <c r="Z93" i="43" s="1"/>
  <c r="Z105" i="43" s="1"/>
  <c r="Z112" i="43" s="1"/>
  <c r="AB65" i="43"/>
  <c r="AB81" i="43" s="1"/>
  <c r="AB93" i="43" s="1"/>
  <c r="AB105" i="43" s="1"/>
  <c r="AB112" i="43" s="1"/>
  <c r="Z89" i="42"/>
  <c r="V94" i="42"/>
  <c r="V106" i="42" s="1"/>
  <c r="AF63" i="43"/>
  <c r="AC92" i="42"/>
  <c r="AC93" i="43"/>
  <c r="AC105" i="43" s="1"/>
  <c r="AC112" i="43" s="1"/>
  <c r="AB89" i="42"/>
  <c r="AA89" i="42"/>
  <c r="W93" i="42"/>
  <c r="W105" i="42" s="1"/>
  <c r="W112" i="42" s="1"/>
  <c r="AB89" i="43"/>
  <c r="AC93" i="42"/>
  <c r="AC105" i="42" s="1"/>
  <c r="AC112" i="42" s="1"/>
  <c r="AA65" i="42"/>
  <c r="AA81" i="42" s="1"/>
  <c r="V65" i="43"/>
  <c r="V81" i="43" s="1"/>
  <c r="V93" i="43" s="1"/>
  <c r="V105" i="43" s="1"/>
  <c r="V112" i="43" s="1"/>
  <c r="W89" i="43"/>
  <c r="N19" i="43"/>
  <c r="X93" i="43"/>
  <c r="X105" i="43" s="1"/>
  <c r="X112" i="43" s="1"/>
  <c r="X94" i="42"/>
  <c r="X106" i="42" s="1"/>
  <c r="U81" i="43"/>
  <c r="U93" i="43" s="1"/>
  <c r="U105" i="43" s="1"/>
  <c r="U112" i="43" s="1"/>
  <c r="W78" i="37"/>
  <c r="W80" i="37" s="1"/>
  <c r="V114" i="37"/>
  <c r="V100" i="37"/>
  <c r="V87" i="37"/>
  <c r="V64" i="37"/>
  <c r="AC78" i="37"/>
  <c r="AC80" i="37" s="1"/>
  <c r="AA78" i="37"/>
  <c r="AA80" i="37" s="1"/>
  <c r="AA98" i="37"/>
  <c r="AA85" i="37"/>
  <c r="AA62" i="37"/>
  <c r="AA69" i="37"/>
  <c r="U114" i="37"/>
  <c r="AF70" i="37"/>
  <c r="U100" i="37"/>
  <c r="U87" i="37"/>
  <c r="U64" i="37"/>
  <c r="Y62" i="37"/>
  <c r="Y98" i="37"/>
  <c r="Y69" i="37"/>
  <c r="Y85" i="37"/>
  <c r="AD114" i="37"/>
  <c r="AD100" i="37"/>
  <c r="AD87" i="37"/>
  <c r="AD64" i="37"/>
  <c r="W100" i="37"/>
  <c r="W87" i="37"/>
  <c r="W64" i="37"/>
  <c r="W114" i="37"/>
  <c r="P7" i="37"/>
  <c r="X100" i="37"/>
  <c r="X87" i="37"/>
  <c r="X114" i="37"/>
  <c r="X64" i="37"/>
  <c r="Y114" i="37"/>
  <c r="Y87" i="37"/>
  <c r="Y100" i="37"/>
  <c r="Y64" i="37"/>
  <c r="AC98" i="37"/>
  <c r="AC85" i="37"/>
  <c r="AC62" i="37"/>
  <c r="AC69" i="37"/>
  <c r="V98" i="37"/>
  <c r="V69" i="37"/>
  <c r="V62" i="37"/>
  <c r="V85" i="37"/>
  <c r="AA100" i="37"/>
  <c r="AA87" i="37"/>
  <c r="AA64" i="37"/>
  <c r="AA114" i="37"/>
  <c r="X98" i="37"/>
  <c r="X85" i="37"/>
  <c r="X62" i="37"/>
  <c r="X69" i="37"/>
  <c r="P9" i="37"/>
  <c r="Y78" i="37"/>
  <c r="Y80" i="37" s="1"/>
  <c r="AB100" i="37"/>
  <c r="AB87" i="37"/>
  <c r="AB114" i="37"/>
  <c r="AB64" i="37"/>
  <c r="AC114" i="37"/>
  <c r="AC100" i="37"/>
  <c r="AC87" i="37"/>
  <c r="AC64" i="37"/>
  <c r="Z98" i="37"/>
  <c r="Z69" i="37"/>
  <c r="Z85" i="37"/>
  <c r="Z62" i="37"/>
  <c r="Z78" i="37"/>
  <c r="Z80" i="37" s="1"/>
  <c r="W98" i="37"/>
  <c r="W85" i="37"/>
  <c r="W62" i="37"/>
  <c r="W69" i="37"/>
  <c r="AB98" i="37"/>
  <c r="AB85" i="37"/>
  <c r="AB62" i="37"/>
  <c r="AB69" i="37"/>
  <c r="U85" i="37"/>
  <c r="U62" i="37"/>
  <c r="U69" i="37"/>
  <c r="U98" i="37"/>
  <c r="AF68" i="37"/>
  <c r="Z114" i="37"/>
  <c r="Z100" i="37"/>
  <c r="Z64" i="37"/>
  <c r="Z87" i="37"/>
  <c r="AD98" i="37"/>
  <c r="AD69" i="37"/>
  <c r="AD62" i="37"/>
  <c r="AD85" i="37"/>
  <c r="C6" i="33"/>
  <c r="B6" i="33"/>
  <c r="F19" i="47" l="1"/>
  <c r="F21" i="41"/>
  <c r="R20" i="41"/>
  <c r="G23" i="41"/>
  <c r="S22" i="41"/>
  <c r="S21" i="41"/>
  <c r="G21" i="47"/>
  <c r="N29" i="43"/>
  <c r="N33" i="43" s="1"/>
  <c r="P19" i="43"/>
  <c r="F22" i="43"/>
  <c r="F23" i="43" s="1"/>
  <c r="H22" i="43"/>
  <c r="H23" i="43" s="1"/>
  <c r="H29" i="43" s="1"/>
  <c r="D23" i="43"/>
  <c r="M34" i="41"/>
  <c r="W95" i="43"/>
  <c r="V95" i="42"/>
  <c r="AA94" i="42"/>
  <c r="AA106" i="42" s="1"/>
  <c r="AA92" i="42"/>
  <c r="U94" i="42"/>
  <c r="U106" i="42" s="1"/>
  <c r="U92" i="42"/>
  <c r="V105" i="42"/>
  <c r="V112" i="42" s="1"/>
  <c r="X95" i="42"/>
  <c r="T15" i="43"/>
  <c r="V111" i="42"/>
  <c r="AF65" i="42"/>
  <c r="T9" i="42"/>
  <c r="N15" i="42" s="1"/>
  <c r="P15" i="42" s="1"/>
  <c r="AA94" i="43"/>
  <c r="AA106" i="43" s="1"/>
  <c r="AA92" i="43"/>
  <c r="AA93" i="42"/>
  <c r="AA105" i="42" s="1"/>
  <c r="AA112" i="42" s="1"/>
  <c r="AC95" i="43"/>
  <c r="AC104" i="43"/>
  <c r="X95" i="43"/>
  <c r="X104" i="43"/>
  <c r="Z95" i="42"/>
  <c r="Z104" i="42"/>
  <c r="AB94" i="43"/>
  <c r="AB106" i="43" s="1"/>
  <c r="AB92" i="43"/>
  <c r="AB92" i="42"/>
  <c r="AB94" i="42"/>
  <c r="AB106" i="42" s="1"/>
  <c r="W95" i="42"/>
  <c r="W104" i="42"/>
  <c r="Y95" i="43"/>
  <c r="Y104" i="43"/>
  <c r="W108" i="43"/>
  <c r="H10" i="41" s="1"/>
  <c r="W111" i="43"/>
  <c r="W116" i="43" s="1"/>
  <c r="I10" i="41" s="1"/>
  <c r="AD95" i="42"/>
  <c r="AD104" i="42"/>
  <c r="Z94" i="43"/>
  <c r="Z106" i="43" s="1"/>
  <c r="Z92" i="43"/>
  <c r="U92" i="43"/>
  <c r="U94" i="43"/>
  <c r="U106" i="43" s="1"/>
  <c r="V94" i="43"/>
  <c r="V106" i="43" s="1"/>
  <c r="V92" i="43"/>
  <c r="AC95" i="42"/>
  <c r="AC104" i="42"/>
  <c r="AF65" i="43"/>
  <c r="U93" i="42"/>
  <c r="U105" i="42" s="1"/>
  <c r="U112" i="42" s="1"/>
  <c r="Y94" i="42"/>
  <c r="Y106" i="42" s="1"/>
  <c r="Y92" i="42"/>
  <c r="X108" i="42"/>
  <c r="N11" i="41" s="1"/>
  <c r="X111" i="42"/>
  <c r="X116" i="42" s="1"/>
  <c r="O11" i="41" s="1"/>
  <c r="AB93" i="42"/>
  <c r="AB105" i="42" s="1"/>
  <c r="AB112" i="42" s="1"/>
  <c r="AD95" i="43"/>
  <c r="AD104" i="43"/>
  <c r="X99" i="37"/>
  <c r="X86" i="37"/>
  <c r="X89" i="37" s="1"/>
  <c r="X63" i="37"/>
  <c r="AC86" i="37"/>
  <c r="AC89" i="37" s="1"/>
  <c r="AC99" i="37"/>
  <c r="AC101" i="37" s="1"/>
  <c r="AC63" i="37"/>
  <c r="T6" i="37"/>
  <c r="P8" i="37"/>
  <c r="AB99" i="37"/>
  <c r="AB101" i="37" s="1"/>
  <c r="AB86" i="37"/>
  <c r="AB89" i="37" s="1"/>
  <c r="AB63" i="37"/>
  <c r="AB65" i="37" s="1"/>
  <c r="AB81" i="37" s="1"/>
  <c r="W99" i="37"/>
  <c r="W101" i="37" s="1"/>
  <c r="W63" i="37"/>
  <c r="W65" i="37" s="1"/>
  <c r="W81" i="37" s="1"/>
  <c r="W92" i="37" s="1"/>
  <c r="W86" i="37"/>
  <c r="W89" i="37" s="1"/>
  <c r="X65" i="37"/>
  <c r="X81" i="37" s="1"/>
  <c r="X92" i="37" s="1"/>
  <c r="AF64" i="37"/>
  <c r="AD86" i="37"/>
  <c r="AD99" i="37"/>
  <c r="AD63" i="37"/>
  <c r="AD65" i="37" s="1"/>
  <c r="AD81" i="37" s="1"/>
  <c r="V86" i="37"/>
  <c r="V99" i="37"/>
  <c r="V101" i="37" s="1"/>
  <c r="V63" i="37"/>
  <c r="Y86" i="37"/>
  <c r="Y89" i="37" s="1"/>
  <c r="Y99" i="37"/>
  <c r="Y101" i="37" s="1"/>
  <c r="Y63" i="37"/>
  <c r="Y65" i="37" s="1"/>
  <c r="Y81" i="37" s="1"/>
  <c r="AA99" i="37"/>
  <c r="AA101" i="37" s="1"/>
  <c r="AA86" i="37"/>
  <c r="AA89" i="37" s="1"/>
  <c r="AA63" i="37"/>
  <c r="U86" i="37"/>
  <c r="U89" i="37" s="1"/>
  <c r="U99" i="37"/>
  <c r="U101" i="37" s="1"/>
  <c r="U63" i="37"/>
  <c r="AF69" i="37"/>
  <c r="AD101" i="37"/>
  <c r="AF62" i="37"/>
  <c r="Z86" i="37"/>
  <c r="Z89" i="37" s="1"/>
  <c r="Z99" i="37"/>
  <c r="Z101" i="37" s="1"/>
  <c r="Z63" i="37"/>
  <c r="Z65" i="37" s="1"/>
  <c r="Z81" i="37" s="1"/>
  <c r="X101" i="37"/>
  <c r="D44" i="33"/>
  <c r="T118" i="35"/>
  <c r="T120" i="35" s="1"/>
  <c r="D27" i="33" s="1"/>
  <c r="T39" i="35"/>
  <c r="AD73" i="35"/>
  <c r="AD88" i="35" s="1"/>
  <c r="AD107" i="35" s="1"/>
  <c r="AC73" i="35"/>
  <c r="AC88" i="35" s="1"/>
  <c r="AC107" i="35" s="1"/>
  <c r="AB73" i="35"/>
  <c r="AB88" i="35" s="1"/>
  <c r="AB107" i="35" s="1"/>
  <c r="AA73" i="35"/>
  <c r="AA75" i="35" s="1"/>
  <c r="Z73" i="35"/>
  <c r="Z88" i="35" s="1"/>
  <c r="Z107" i="35" s="1"/>
  <c r="Y73" i="35"/>
  <c r="Y88" i="35" s="1"/>
  <c r="Y107" i="35" s="1"/>
  <c r="X73" i="35"/>
  <c r="X88" i="35" s="1"/>
  <c r="X107" i="35" s="1"/>
  <c r="W73" i="35"/>
  <c r="W75" i="35" s="1"/>
  <c r="V73" i="35"/>
  <c r="U73" i="35"/>
  <c r="U88" i="35" s="1"/>
  <c r="U107" i="35" s="1"/>
  <c r="AF71" i="35"/>
  <c r="T38" i="35"/>
  <c r="P40" i="35"/>
  <c r="U116" i="35" s="1"/>
  <c r="L29" i="35"/>
  <c r="L33" i="35" s="1"/>
  <c r="P26" i="35"/>
  <c r="N18" i="35"/>
  <c r="D18" i="35"/>
  <c r="P16" i="35"/>
  <c r="D13" i="35"/>
  <c r="P11" i="35"/>
  <c r="D8" i="35"/>
  <c r="D6" i="35" s="1"/>
  <c r="C30" i="33" l="1"/>
  <c r="F10" i="45"/>
  <c r="F20" i="47"/>
  <c r="F22" i="41"/>
  <c r="R21" i="41"/>
  <c r="C34" i="33"/>
  <c r="F14" i="45"/>
  <c r="N38" i="43"/>
  <c r="N45" i="43"/>
  <c r="G24" i="41"/>
  <c r="S23" i="41"/>
  <c r="G22" i="47"/>
  <c r="P18" i="43"/>
  <c r="P29" i="43"/>
  <c r="P28" i="43" s="1"/>
  <c r="P23" i="43"/>
  <c r="P21" i="43" s="1"/>
  <c r="X68" i="35"/>
  <c r="V68" i="35"/>
  <c r="V62" i="35" s="1"/>
  <c r="J10" i="41"/>
  <c r="M35" i="41"/>
  <c r="W78" i="35"/>
  <c r="W80" i="35" s="1"/>
  <c r="AA78" i="35"/>
  <c r="Y75" i="35"/>
  <c r="T11" i="42"/>
  <c r="T14" i="42" s="1"/>
  <c r="T13" i="42" s="1"/>
  <c r="T17" i="42" s="1"/>
  <c r="D22" i="42" s="1"/>
  <c r="W118" i="43"/>
  <c r="D9" i="33" s="1"/>
  <c r="V108" i="42"/>
  <c r="N9" i="41" s="1"/>
  <c r="X118" i="42"/>
  <c r="E10" i="33" s="1"/>
  <c r="V116" i="42"/>
  <c r="AA95" i="43"/>
  <c r="AA104" i="43"/>
  <c r="AD108" i="43"/>
  <c r="H17" i="41" s="1"/>
  <c r="AD111" i="43"/>
  <c r="AD116" i="43" s="1"/>
  <c r="AC111" i="42"/>
  <c r="AC116" i="42" s="1"/>
  <c r="O16" i="41" s="1"/>
  <c r="AC108" i="42"/>
  <c r="N16" i="41" s="1"/>
  <c r="AD111" i="42"/>
  <c r="AD116" i="42" s="1"/>
  <c r="O17" i="41" s="1"/>
  <c r="AD108" i="42"/>
  <c r="N17" i="41" s="1"/>
  <c r="Y111" i="43"/>
  <c r="Y116" i="43" s="1"/>
  <c r="Y108" i="43"/>
  <c r="H12" i="41" s="1"/>
  <c r="Z111" i="42"/>
  <c r="Z116" i="42" s="1"/>
  <c r="O13" i="41" s="1"/>
  <c r="Z108" i="42"/>
  <c r="N13" i="41" s="1"/>
  <c r="AC111" i="43"/>
  <c r="AC116" i="43" s="1"/>
  <c r="AC108" i="43"/>
  <c r="H16" i="41" s="1"/>
  <c r="U95" i="42"/>
  <c r="U104" i="42"/>
  <c r="U95" i="43"/>
  <c r="U104" i="43"/>
  <c r="AB95" i="42"/>
  <c r="AB104" i="42"/>
  <c r="Y95" i="42"/>
  <c r="Y104" i="42"/>
  <c r="V95" i="43"/>
  <c r="V104" i="43"/>
  <c r="Z95" i="43"/>
  <c r="Z104" i="43"/>
  <c r="W108" i="42"/>
  <c r="N10" i="41" s="1"/>
  <c r="T10" i="41" s="1"/>
  <c r="W111" i="42"/>
  <c r="W116" i="42" s="1"/>
  <c r="O10" i="41" s="1"/>
  <c r="U10" i="41" s="1"/>
  <c r="AB95" i="43"/>
  <c r="AB104" i="43"/>
  <c r="X111" i="43"/>
  <c r="X116" i="43" s="1"/>
  <c r="X108" i="43"/>
  <c r="H11" i="41" s="1"/>
  <c r="N19" i="42"/>
  <c r="AA95" i="42"/>
  <c r="AA104" i="42"/>
  <c r="X94" i="37"/>
  <c r="X106" i="37" s="1"/>
  <c r="D19" i="35"/>
  <c r="D28" i="35"/>
  <c r="AB94" i="37"/>
  <c r="AB106" i="37" s="1"/>
  <c r="AB92" i="37"/>
  <c r="Y94" i="37"/>
  <c r="Y106" i="37" s="1"/>
  <c r="Y92" i="37"/>
  <c r="Z94" i="37"/>
  <c r="Z106" i="37" s="1"/>
  <c r="Z92" i="37"/>
  <c r="AD92" i="37"/>
  <c r="AD94" i="37"/>
  <c r="AD106" i="37" s="1"/>
  <c r="X104" i="37"/>
  <c r="W104" i="37"/>
  <c r="Y93" i="37"/>
  <c r="Y105" i="37" s="1"/>
  <c r="Y113" i="37" s="1"/>
  <c r="W94" i="37"/>
  <c r="W106" i="37" s="1"/>
  <c r="AF63" i="37"/>
  <c r="V65" i="37"/>
  <c r="V81" i="37" s="1"/>
  <c r="V93" i="37" s="1"/>
  <c r="V105" i="37" s="1"/>
  <c r="V113" i="37" s="1"/>
  <c r="AB93" i="37"/>
  <c r="AB105" i="37" s="1"/>
  <c r="AB113" i="37" s="1"/>
  <c r="U6" i="37"/>
  <c r="T7" i="37"/>
  <c r="X93" i="37"/>
  <c r="AD89" i="37"/>
  <c r="AD93" i="37"/>
  <c r="AD105" i="37" s="1"/>
  <c r="AD113" i="37" s="1"/>
  <c r="AA65" i="37"/>
  <c r="AA81" i="37" s="1"/>
  <c r="Z93" i="37"/>
  <c r="Z105" i="37" s="1"/>
  <c r="Z113" i="37" s="1"/>
  <c r="U65" i="37"/>
  <c r="AC65" i="37"/>
  <c r="AC81" i="37" s="1"/>
  <c r="W93" i="37"/>
  <c r="W105" i="37" s="1"/>
  <c r="W113" i="37" s="1"/>
  <c r="V89" i="37"/>
  <c r="AC75" i="35"/>
  <c r="Z75" i="35"/>
  <c r="T44" i="35"/>
  <c r="AA70" i="35"/>
  <c r="AA100" i="35" s="1"/>
  <c r="Z68" i="35"/>
  <c r="Z62" i="35" s="1"/>
  <c r="W88" i="35"/>
  <c r="W107" i="35" s="1"/>
  <c r="U75" i="35"/>
  <c r="AA88" i="35"/>
  <c r="AA107" i="35" s="1"/>
  <c r="P25" i="35"/>
  <c r="V70" i="35"/>
  <c r="V64" i="35" s="1"/>
  <c r="V88" i="35"/>
  <c r="V107" i="35" s="1"/>
  <c r="V75" i="35"/>
  <c r="AD75" i="35"/>
  <c r="AD116" i="35"/>
  <c r="Z116" i="35"/>
  <c r="V116" i="35"/>
  <c r="AC116" i="35"/>
  <c r="Y116" i="35"/>
  <c r="AB116" i="35"/>
  <c r="X116" i="35"/>
  <c r="AA116" i="35"/>
  <c r="W116" i="35"/>
  <c r="W68" i="35"/>
  <c r="W62" i="35" s="1"/>
  <c r="AA68" i="35"/>
  <c r="W70" i="35"/>
  <c r="AC70" i="35"/>
  <c r="AB75" i="35"/>
  <c r="AA80" i="35"/>
  <c r="D7" i="35"/>
  <c r="P7" i="35" s="1"/>
  <c r="AB68" i="35"/>
  <c r="Y70" i="35"/>
  <c r="AD70" i="35"/>
  <c r="X75" i="35"/>
  <c r="AB70" i="35"/>
  <c r="X70" i="35"/>
  <c r="AC68" i="35"/>
  <c r="P6" i="35"/>
  <c r="T5" i="35" s="1"/>
  <c r="U68" i="35"/>
  <c r="U85" i="35" s="1"/>
  <c r="Y68" i="35"/>
  <c r="AD68" i="35"/>
  <c r="U70" i="35"/>
  <c r="Z70" i="35"/>
  <c r="Z69" i="35" s="1"/>
  <c r="Y78" i="35"/>
  <c r="Y80" i="35" s="1"/>
  <c r="V98" i="35" l="1"/>
  <c r="V85" i="35"/>
  <c r="F15" i="45"/>
  <c r="C35" i="33"/>
  <c r="C33" i="33"/>
  <c r="F13" i="45"/>
  <c r="F21" i="47"/>
  <c r="C31" i="33"/>
  <c r="F11" i="45"/>
  <c r="G18" i="45"/>
  <c r="G19" i="45" s="1"/>
  <c r="C37" i="33"/>
  <c r="D41" i="33" s="1"/>
  <c r="E41" i="33" s="1"/>
  <c r="F17" i="45"/>
  <c r="C28" i="33"/>
  <c r="F8" i="45"/>
  <c r="F16" i="45"/>
  <c r="C36" i="33"/>
  <c r="C32" i="33"/>
  <c r="F12" i="45"/>
  <c r="F23" i="41"/>
  <c r="R22" i="41"/>
  <c r="C29" i="33"/>
  <c r="F9" i="45"/>
  <c r="G25" i="41"/>
  <c r="S24" i="41"/>
  <c r="L36" i="35"/>
  <c r="L36" i="31" s="1"/>
  <c r="G23" i="47"/>
  <c r="N29" i="42"/>
  <c r="N33" i="42" s="1"/>
  <c r="P19" i="42"/>
  <c r="F22" i="42"/>
  <c r="F23" i="42" s="1"/>
  <c r="H22" i="42"/>
  <c r="H23" i="42" s="1"/>
  <c r="H29" i="42" s="1"/>
  <c r="D23" i="42"/>
  <c r="W109" i="37"/>
  <c r="V87" i="35"/>
  <c r="AA87" i="35"/>
  <c r="V114" i="35"/>
  <c r="Z98" i="35"/>
  <c r="V118" i="42"/>
  <c r="E8" i="33" s="1"/>
  <c r="O9" i="41"/>
  <c r="P9" i="41" s="1"/>
  <c r="V10" i="41"/>
  <c r="P10" i="41"/>
  <c r="T16" i="41"/>
  <c r="P16" i="41"/>
  <c r="I16" i="41"/>
  <c r="I12" i="41"/>
  <c r="T11" i="41"/>
  <c r="P17" i="41"/>
  <c r="I17" i="41"/>
  <c r="J17" i="41" s="1"/>
  <c r="P11" i="41"/>
  <c r="I11" i="41"/>
  <c r="T17" i="41"/>
  <c r="M36" i="41"/>
  <c r="D70" i="45"/>
  <c r="Z78" i="35"/>
  <c r="Z80" i="35" s="1"/>
  <c r="AD118" i="43"/>
  <c r="D16" i="33" s="1"/>
  <c r="AC78" i="35"/>
  <c r="AC80" i="35" s="1"/>
  <c r="W118" i="42"/>
  <c r="E9" i="33" s="1"/>
  <c r="T15" i="42"/>
  <c r="AA108" i="42"/>
  <c r="N14" i="41" s="1"/>
  <c r="AA111" i="42"/>
  <c r="AA116" i="42" s="1"/>
  <c r="O14" i="41" s="1"/>
  <c r="U111" i="42"/>
  <c r="U116" i="42" s="1"/>
  <c r="O8" i="41" s="1"/>
  <c r="U108" i="42"/>
  <c r="N8" i="41" s="1"/>
  <c r="H33" i="43"/>
  <c r="H45" i="43" s="1"/>
  <c r="AB111" i="43"/>
  <c r="AB116" i="43" s="1"/>
  <c r="AB108" i="43"/>
  <c r="H15" i="41" s="1"/>
  <c r="Z108" i="43"/>
  <c r="H13" i="41" s="1"/>
  <c r="Z111" i="43"/>
  <c r="Z116" i="43" s="1"/>
  <c r="Y111" i="42"/>
  <c r="Y116" i="42" s="1"/>
  <c r="O12" i="41" s="1"/>
  <c r="Y108" i="42"/>
  <c r="N12" i="41" s="1"/>
  <c r="T12" i="41" s="1"/>
  <c r="U111" i="43"/>
  <c r="U116" i="43" s="1"/>
  <c r="I8" i="41" s="1"/>
  <c r="U108" i="43"/>
  <c r="H8" i="41" s="1"/>
  <c r="AC118" i="43"/>
  <c r="D15" i="33" s="1"/>
  <c r="Y118" i="43"/>
  <c r="D11" i="33" s="1"/>
  <c r="AC118" i="42"/>
  <c r="E15" i="33" s="1"/>
  <c r="D29" i="43"/>
  <c r="D33" i="43" s="1"/>
  <c r="AA108" i="43"/>
  <c r="H14" i="41" s="1"/>
  <c r="AA111" i="43"/>
  <c r="AA116" i="43" s="1"/>
  <c r="X118" i="43"/>
  <c r="D10" i="33" s="1"/>
  <c r="V108" i="43"/>
  <c r="H9" i="41" s="1"/>
  <c r="V111" i="43"/>
  <c r="V116" i="43" s="1"/>
  <c r="I9" i="41" s="1"/>
  <c r="AB108" i="42"/>
  <c r="N15" i="41" s="1"/>
  <c r="AB111" i="42"/>
  <c r="AB116" i="42" s="1"/>
  <c r="O15" i="41" s="1"/>
  <c r="F29" i="43"/>
  <c r="F33" i="43" s="1"/>
  <c r="Z118" i="42"/>
  <c r="E12" i="33" s="1"/>
  <c r="AD118" i="42"/>
  <c r="E16" i="33" s="1"/>
  <c r="V100" i="35"/>
  <c r="L36" i="37"/>
  <c r="Z115" i="35"/>
  <c r="Z115" i="37" s="1"/>
  <c r="AA64" i="35"/>
  <c r="X95" i="37"/>
  <c r="AC94" i="37"/>
  <c r="AC106" i="37" s="1"/>
  <c r="AC92" i="37"/>
  <c r="H10" i="47"/>
  <c r="W112" i="37"/>
  <c r="Y95" i="37"/>
  <c r="Y104" i="37"/>
  <c r="Y109" i="37" s="1"/>
  <c r="AD95" i="37"/>
  <c r="AD104" i="37"/>
  <c r="AD109" i="37" s="1"/>
  <c r="X105" i="37"/>
  <c r="X113" i="37" s="1"/>
  <c r="T9" i="37"/>
  <c r="N15" i="37" s="1"/>
  <c r="X112" i="37"/>
  <c r="Z95" i="37"/>
  <c r="Z104" i="37"/>
  <c r="Z109" i="37" s="1"/>
  <c r="AB95" i="37"/>
  <c r="AB104" i="37"/>
  <c r="AB109" i="37" s="1"/>
  <c r="AA94" i="37"/>
  <c r="AA106" i="37" s="1"/>
  <c r="AA92" i="37"/>
  <c r="V92" i="37"/>
  <c r="V94" i="37"/>
  <c r="V106" i="37" s="1"/>
  <c r="W95" i="37"/>
  <c r="AF65" i="37"/>
  <c r="U81" i="37"/>
  <c r="AC93" i="37"/>
  <c r="AC105" i="37" s="1"/>
  <c r="AC113" i="37" s="1"/>
  <c r="AA93" i="37"/>
  <c r="AA105" i="37" s="1"/>
  <c r="AA113" i="37" s="1"/>
  <c r="Y115" i="35"/>
  <c r="Y115" i="37" s="1"/>
  <c r="AD115" i="35"/>
  <c r="AD115" i="37" s="1"/>
  <c r="AB115" i="35"/>
  <c r="AB115" i="37" s="1"/>
  <c r="AC115" i="35"/>
  <c r="AC115" i="37" s="1"/>
  <c r="W115" i="35"/>
  <c r="W115" i="37" s="1"/>
  <c r="AA114" i="35"/>
  <c r="D9" i="35"/>
  <c r="P9" i="35" s="1"/>
  <c r="V69" i="35"/>
  <c r="Z85" i="35"/>
  <c r="U78" i="35"/>
  <c r="U80" i="35" s="1"/>
  <c r="Z99" i="35"/>
  <c r="Z86" i="35"/>
  <c r="Z63" i="35"/>
  <c r="Y98" i="35"/>
  <c r="Y62" i="35"/>
  <c r="Y69" i="35"/>
  <c r="Y85" i="35"/>
  <c r="AC98" i="35"/>
  <c r="AC62" i="35"/>
  <c r="AC85" i="35"/>
  <c r="AC69" i="35"/>
  <c r="AB98" i="35"/>
  <c r="AB62" i="35"/>
  <c r="AB85" i="35"/>
  <c r="AB69" i="35"/>
  <c r="P8" i="35"/>
  <c r="T6" i="35"/>
  <c r="U6" i="35" s="1"/>
  <c r="W114" i="35"/>
  <c r="W87" i="35"/>
  <c r="W100" i="35"/>
  <c r="W64" i="35"/>
  <c r="AD78" i="35"/>
  <c r="AD80" i="35" s="1"/>
  <c r="Z114" i="35"/>
  <c r="Z87" i="35"/>
  <c r="Z100" i="35"/>
  <c r="Z64" i="35"/>
  <c r="U98" i="35"/>
  <c r="U69" i="35"/>
  <c r="U62" i="35"/>
  <c r="AF68" i="35"/>
  <c r="X100" i="35"/>
  <c r="X114" i="35"/>
  <c r="X87" i="35"/>
  <c r="X64" i="35"/>
  <c r="X78" i="35"/>
  <c r="X80" i="35" s="1"/>
  <c r="X98" i="35"/>
  <c r="X85" i="35"/>
  <c r="X62" i="35"/>
  <c r="X69" i="35"/>
  <c r="AA69" i="35"/>
  <c r="AA85" i="35"/>
  <c r="AA98" i="35"/>
  <c r="AA62" i="35"/>
  <c r="V78" i="35"/>
  <c r="V80" i="35" s="1"/>
  <c r="U114" i="35"/>
  <c r="U100" i="35"/>
  <c r="AF70" i="35"/>
  <c r="U64" i="35"/>
  <c r="U87" i="35"/>
  <c r="AB100" i="35"/>
  <c r="AB114" i="35"/>
  <c r="AB87" i="35"/>
  <c r="AB64" i="35"/>
  <c r="AD114" i="35"/>
  <c r="AD87" i="35"/>
  <c r="AD64" i="35"/>
  <c r="AD100" i="35"/>
  <c r="AB78" i="35"/>
  <c r="AB80" i="35" s="1"/>
  <c r="W69" i="35"/>
  <c r="W85" i="35"/>
  <c r="W98" i="35"/>
  <c r="AD85" i="35"/>
  <c r="AD98" i="35"/>
  <c r="AD69" i="35"/>
  <c r="AD62" i="35"/>
  <c r="Y114" i="35"/>
  <c r="Y100" i="35"/>
  <c r="Y87" i="35"/>
  <c r="Y64" i="35"/>
  <c r="AC114" i="35"/>
  <c r="AC100" i="35"/>
  <c r="AC64" i="35"/>
  <c r="AC87" i="35"/>
  <c r="L29" i="34"/>
  <c r="L33" i="34" s="1"/>
  <c r="P16" i="34"/>
  <c r="T118" i="34"/>
  <c r="T120" i="34" s="1"/>
  <c r="E50" i="33" s="1"/>
  <c r="J72" i="33" s="1"/>
  <c r="AD73" i="34"/>
  <c r="AD75" i="34" s="1"/>
  <c r="AC73" i="34"/>
  <c r="AC75" i="34" s="1"/>
  <c r="L16" i="47" s="1"/>
  <c r="R16" i="47" s="1"/>
  <c r="AB73" i="34"/>
  <c r="AB75" i="34" s="1"/>
  <c r="L15" i="47" s="1"/>
  <c r="R15" i="47" s="1"/>
  <c r="AA73" i="34"/>
  <c r="AA75" i="34" s="1"/>
  <c r="L14" i="47" s="1"/>
  <c r="R14" i="47" s="1"/>
  <c r="Z73" i="34"/>
  <c r="Y73" i="34"/>
  <c r="Y75" i="34" s="1"/>
  <c r="L12" i="47" s="1"/>
  <c r="R12" i="47" s="1"/>
  <c r="X73" i="34"/>
  <c r="X75" i="34" s="1"/>
  <c r="L11" i="47" s="1"/>
  <c r="R11" i="47" s="1"/>
  <c r="W73" i="34"/>
  <c r="W75" i="34" s="1"/>
  <c r="L10" i="47" s="1"/>
  <c r="R10" i="47" s="1"/>
  <c r="V73" i="34"/>
  <c r="V75" i="34" s="1"/>
  <c r="L9" i="47" s="1"/>
  <c r="R9" i="47" s="1"/>
  <c r="U73" i="34"/>
  <c r="U75" i="34" s="1"/>
  <c r="L8" i="47" s="1"/>
  <c r="R8" i="47" s="1"/>
  <c r="AF71" i="34"/>
  <c r="P40" i="34"/>
  <c r="H36" i="34"/>
  <c r="H42" i="34" s="1"/>
  <c r="H28" i="34"/>
  <c r="F28" i="34"/>
  <c r="D28" i="34"/>
  <c r="H26" i="34"/>
  <c r="F26" i="34"/>
  <c r="T21" i="34"/>
  <c r="N18" i="34" s="1"/>
  <c r="H19" i="34"/>
  <c r="F19" i="34"/>
  <c r="D19" i="34"/>
  <c r="P11" i="34"/>
  <c r="F8" i="34"/>
  <c r="F6" i="34" s="1"/>
  <c r="D8" i="34"/>
  <c r="D6" i="34" s="1"/>
  <c r="H6" i="34"/>
  <c r="N38" i="42" l="1"/>
  <c r="N45" i="42"/>
  <c r="F18" i="45"/>
  <c r="L42" i="31"/>
  <c r="F24" i="41"/>
  <c r="R23" i="41"/>
  <c r="M18" i="47"/>
  <c r="S18" i="47" s="1"/>
  <c r="L17" i="47"/>
  <c r="L38" i="37"/>
  <c r="L36" i="50"/>
  <c r="L42" i="37"/>
  <c r="L45" i="37" s="1"/>
  <c r="D71" i="45"/>
  <c r="F22" i="47"/>
  <c r="G26" i="41"/>
  <c r="S25" i="41"/>
  <c r="L42" i="35"/>
  <c r="L38" i="35"/>
  <c r="AA115" i="35"/>
  <c r="AA115" i="37" s="1"/>
  <c r="X115" i="35"/>
  <c r="X115" i="37" s="1"/>
  <c r="V115" i="35"/>
  <c r="V115" i="37" s="1"/>
  <c r="U115" i="35"/>
  <c r="U115" i="37" s="1"/>
  <c r="M19" i="47"/>
  <c r="S19" i="47" s="1"/>
  <c r="G24" i="47"/>
  <c r="D72" i="45"/>
  <c r="P33" i="43"/>
  <c r="P18" i="42"/>
  <c r="P23" i="42"/>
  <c r="P21" i="42" s="1"/>
  <c r="U9" i="41"/>
  <c r="H38" i="43"/>
  <c r="X109" i="37"/>
  <c r="H11" i="47" s="1"/>
  <c r="Z89" i="35"/>
  <c r="Z101" i="35"/>
  <c r="J8" i="41"/>
  <c r="P12" i="41"/>
  <c r="U11" i="41"/>
  <c r="V11" i="41" s="1"/>
  <c r="U8" i="41"/>
  <c r="U12" i="41"/>
  <c r="V12" i="41" s="1"/>
  <c r="P8" i="41"/>
  <c r="U16" i="41"/>
  <c r="V16" i="41" s="1"/>
  <c r="U17" i="41"/>
  <c r="V17" i="41" s="1"/>
  <c r="P14" i="41"/>
  <c r="I14" i="41"/>
  <c r="P15" i="41"/>
  <c r="I15" i="41"/>
  <c r="J12" i="41"/>
  <c r="J14" i="41"/>
  <c r="T14" i="41"/>
  <c r="T8" i="41"/>
  <c r="P13" i="41"/>
  <c r="I13" i="41"/>
  <c r="J13" i="41" s="1"/>
  <c r="J9" i="41"/>
  <c r="T9" i="41"/>
  <c r="T13" i="41"/>
  <c r="J11" i="41"/>
  <c r="T15" i="41"/>
  <c r="J16" i="41"/>
  <c r="M37" i="41"/>
  <c r="AB78" i="34"/>
  <c r="AB80" i="34" s="1"/>
  <c r="Y78" i="34"/>
  <c r="Y80" i="34" s="1"/>
  <c r="AC78" i="34"/>
  <c r="U118" i="43"/>
  <c r="D7" i="33" s="1"/>
  <c r="D17" i="33" s="1"/>
  <c r="D19" i="33" s="1"/>
  <c r="D21" i="33" s="1"/>
  <c r="D70" i="47"/>
  <c r="L36" i="34"/>
  <c r="L42" i="34" s="1"/>
  <c r="L45" i="34" s="1"/>
  <c r="W78" i="34"/>
  <c r="W80" i="34" s="1"/>
  <c r="AB118" i="42"/>
  <c r="E14" i="33" s="1"/>
  <c r="Y118" i="42"/>
  <c r="E11" i="33" s="1"/>
  <c r="AB118" i="43"/>
  <c r="D14" i="33" s="1"/>
  <c r="U118" i="42"/>
  <c r="E7" i="33" s="1"/>
  <c r="G20" i="45"/>
  <c r="V118" i="43"/>
  <c r="D8" i="33" s="1"/>
  <c r="D36" i="43"/>
  <c r="Z118" i="43"/>
  <c r="D12" i="33" s="1"/>
  <c r="F36" i="43"/>
  <c r="AA118" i="43"/>
  <c r="D13" i="33" s="1"/>
  <c r="AA118" i="42"/>
  <c r="E13" i="33" s="1"/>
  <c r="T11" i="37"/>
  <c r="T14" i="37" s="1"/>
  <c r="T13" i="37" s="1"/>
  <c r="T17" i="37" s="1"/>
  <c r="D22" i="37" s="1"/>
  <c r="Z70" i="34"/>
  <c r="Z100" i="34" s="1"/>
  <c r="T7" i="35"/>
  <c r="T9" i="35" s="1"/>
  <c r="N15" i="35" s="1"/>
  <c r="U94" i="37"/>
  <c r="U106" i="37" s="1"/>
  <c r="U92" i="37"/>
  <c r="U93" i="37"/>
  <c r="U105" i="37" s="1"/>
  <c r="U113" i="37" s="1"/>
  <c r="V95" i="37"/>
  <c r="V104" i="37"/>
  <c r="V109" i="37" s="1"/>
  <c r="AD112" i="37"/>
  <c r="H17" i="47"/>
  <c r="AA95" i="37"/>
  <c r="AA104" i="37"/>
  <c r="AA109" i="37" s="1"/>
  <c r="Z112" i="37"/>
  <c r="H13" i="47"/>
  <c r="P15" i="37"/>
  <c r="N19" i="37"/>
  <c r="N29" i="37" s="1"/>
  <c r="Y112" i="37"/>
  <c r="H12" i="47"/>
  <c r="AC95" i="37"/>
  <c r="AC104" i="37"/>
  <c r="AC109" i="37" s="1"/>
  <c r="H15" i="47"/>
  <c r="AB112" i="37"/>
  <c r="V86" i="35"/>
  <c r="V89" i="35" s="1"/>
  <c r="V63" i="35"/>
  <c r="V99" i="35"/>
  <c r="V101" i="35" s="1"/>
  <c r="AD99" i="35"/>
  <c r="AD101" i="35" s="1"/>
  <c r="AD86" i="35"/>
  <c r="AD89" i="35" s="1"/>
  <c r="AD63" i="35"/>
  <c r="AD65" i="35" s="1"/>
  <c r="AD81" i="35" s="1"/>
  <c r="W99" i="35"/>
  <c r="W101" i="35" s="1"/>
  <c r="W63" i="35"/>
  <c r="W65" i="35" s="1"/>
  <c r="W81" i="35" s="1"/>
  <c r="W94" i="35" s="1"/>
  <c r="W106" i="35" s="1"/>
  <c r="W86" i="35"/>
  <c r="W89" i="35" s="1"/>
  <c r="AF64" i="35"/>
  <c r="AF69" i="35"/>
  <c r="U86" i="35"/>
  <c r="U89" i="35" s="1"/>
  <c r="U63" i="35"/>
  <c r="U65" i="35" s="1"/>
  <c r="U99" i="35"/>
  <c r="U101" i="35" s="1"/>
  <c r="Y86" i="35"/>
  <c r="Y89" i="35" s="1"/>
  <c r="Y63" i="35"/>
  <c r="Y65" i="35" s="1"/>
  <c r="Y81" i="35" s="1"/>
  <c r="Y99" i="35"/>
  <c r="Y101" i="35" s="1"/>
  <c r="AA99" i="35"/>
  <c r="AA101" i="35" s="1"/>
  <c r="AA86" i="35"/>
  <c r="AA89" i="35" s="1"/>
  <c r="AA63" i="35"/>
  <c r="AA65" i="35" s="1"/>
  <c r="AA81" i="35" s="1"/>
  <c r="AA94" i="35" s="1"/>
  <c r="AA106" i="35" s="1"/>
  <c r="X86" i="35"/>
  <c r="X89" i="35" s="1"/>
  <c r="X63" i="35"/>
  <c r="X99" i="35"/>
  <c r="X101" i="35" s="1"/>
  <c r="AF62" i="35"/>
  <c r="AB86" i="35"/>
  <c r="AB89" i="35" s="1"/>
  <c r="AB99" i="35"/>
  <c r="AB101" i="35" s="1"/>
  <c r="AB63" i="35"/>
  <c r="AC86" i="35"/>
  <c r="AC89" i="35" s="1"/>
  <c r="AC63" i="35"/>
  <c r="AC99" i="35"/>
  <c r="AC101" i="35" s="1"/>
  <c r="Z65" i="35"/>
  <c r="Z81" i="35" s="1"/>
  <c r="Z92" i="35" s="1"/>
  <c r="Z68" i="34"/>
  <c r="AB70" i="34"/>
  <c r="AB114" i="34" s="1"/>
  <c r="AD68" i="34"/>
  <c r="AD85" i="34" s="1"/>
  <c r="AD70" i="34"/>
  <c r="AD87" i="34" s="1"/>
  <c r="AB88" i="34"/>
  <c r="AB107" i="34" s="1"/>
  <c r="X88" i="34"/>
  <c r="X107" i="34" s="1"/>
  <c r="U68" i="34"/>
  <c r="U62" i="34" s="1"/>
  <c r="W70" i="34"/>
  <c r="W114" i="34" s="1"/>
  <c r="Y68" i="34"/>
  <c r="Y85" i="34" s="1"/>
  <c r="X70" i="34"/>
  <c r="X64" i="34" s="1"/>
  <c r="Z88" i="34"/>
  <c r="Z107" i="34" s="1"/>
  <c r="P26" i="34"/>
  <c r="P6" i="34"/>
  <c r="T5" i="34" s="1"/>
  <c r="D7" i="34"/>
  <c r="X78" i="34"/>
  <c r="X80" i="34" s="1"/>
  <c r="F7" i="34"/>
  <c r="F9" i="34" s="1"/>
  <c r="AD78" i="34"/>
  <c r="AD80" i="34" s="1"/>
  <c r="V78" i="34"/>
  <c r="V80" i="34" s="1"/>
  <c r="Z75" i="34"/>
  <c r="L13" i="47" s="1"/>
  <c r="R13" i="47" s="1"/>
  <c r="AD88" i="34"/>
  <c r="AD107" i="34" s="1"/>
  <c r="V68" i="34"/>
  <c r="AA68" i="34"/>
  <c r="AC80" i="34"/>
  <c r="U78" i="34"/>
  <c r="U80" i="34" s="1"/>
  <c r="V88" i="34"/>
  <c r="V107" i="34" s="1"/>
  <c r="AA88" i="34"/>
  <c r="AA107" i="34" s="1"/>
  <c r="AC70" i="34"/>
  <c r="Y70" i="34"/>
  <c r="U70" i="34"/>
  <c r="AB68" i="34"/>
  <c r="X68" i="34"/>
  <c r="H7" i="34"/>
  <c r="H9" i="34" s="1"/>
  <c r="AB64" i="34"/>
  <c r="W68" i="34"/>
  <c r="AC68" i="34"/>
  <c r="V70" i="34"/>
  <c r="AA70" i="34"/>
  <c r="U88" i="34"/>
  <c r="U107" i="34" s="1"/>
  <c r="Y88" i="34"/>
  <c r="Y107" i="34" s="1"/>
  <c r="AC88" i="34"/>
  <c r="AC107" i="34" s="1"/>
  <c r="AA78" i="34"/>
  <c r="AA80" i="34" s="1"/>
  <c r="Z85" i="34"/>
  <c r="W88" i="34"/>
  <c r="W107" i="34" s="1"/>
  <c r="N18" i="31"/>
  <c r="U85" i="34" l="1"/>
  <c r="K11" i="41"/>
  <c r="H9" i="33" s="1"/>
  <c r="AD114" i="34"/>
  <c r="L42" i="50"/>
  <c r="L38" i="50"/>
  <c r="P36" i="43"/>
  <c r="P35" i="43" s="1"/>
  <c r="D42" i="43"/>
  <c r="D49" i="43"/>
  <c r="C70" i="41" s="1"/>
  <c r="E17" i="33"/>
  <c r="E19" i="33" s="1"/>
  <c r="E21" i="33" s="1"/>
  <c r="F19" i="45"/>
  <c r="V9" i="41"/>
  <c r="F23" i="47"/>
  <c r="L18" i="47"/>
  <c r="R17" i="47"/>
  <c r="F25" i="41"/>
  <c r="R24" i="41"/>
  <c r="F38" i="43"/>
  <c r="F36" i="51"/>
  <c r="F42" i="43"/>
  <c r="F45" i="43" s="1"/>
  <c r="G27" i="41"/>
  <c r="S26" i="41"/>
  <c r="L45" i="35"/>
  <c r="G25" i="47"/>
  <c r="D71" i="47"/>
  <c r="D72" i="47" s="1"/>
  <c r="L38" i="34"/>
  <c r="M20" i="47"/>
  <c r="S20" i="47" s="1"/>
  <c r="AB87" i="34"/>
  <c r="F22" i="37"/>
  <c r="F23" i="37" s="1"/>
  <c r="H22" i="37"/>
  <c r="H23" i="37" s="1"/>
  <c r="H29" i="37" s="1"/>
  <c r="D23" i="37"/>
  <c r="Z87" i="34"/>
  <c r="D38" i="43"/>
  <c r="P29" i="42"/>
  <c r="P28" i="42" s="1"/>
  <c r="P38" i="43"/>
  <c r="X100" i="34"/>
  <c r="AD69" i="34"/>
  <c r="Z69" i="34"/>
  <c r="T11" i="35"/>
  <c r="T14" i="35" s="1"/>
  <c r="T13" i="35" s="1"/>
  <c r="T17" i="35" s="1"/>
  <c r="D22" i="35" s="1"/>
  <c r="D23" i="35" s="1"/>
  <c r="V8" i="41"/>
  <c r="U15" i="41"/>
  <c r="V15" i="41" s="1"/>
  <c r="U13" i="41"/>
  <c r="V13" i="41" s="1"/>
  <c r="J15" i="41"/>
  <c r="U14" i="41"/>
  <c r="V14" i="41" s="1"/>
  <c r="M38" i="41"/>
  <c r="Y69" i="34"/>
  <c r="Y63" i="34" s="1"/>
  <c r="G21" i="45"/>
  <c r="Y98" i="34"/>
  <c r="Y62" i="34"/>
  <c r="AF118" i="42"/>
  <c r="AF118" i="43"/>
  <c r="F29" i="42"/>
  <c r="F33" i="42" s="1"/>
  <c r="H33" i="42"/>
  <c r="H45" i="42" s="1"/>
  <c r="D29" i="42"/>
  <c r="D33" i="42" s="1"/>
  <c r="B70" i="41"/>
  <c r="H19" i="41" s="1"/>
  <c r="Z64" i="34"/>
  <c r="U98" i="34"/>
  <c r="AB100" i="34"/>
  <c r="W64" i="34"/>
  <c r="W100" i="34"/>
  <c r="W87" i="34"/>
  <c r="Z114" i="34"/>
  <c r="Z93" i="35"/>
  <c r="Z105" i="35" s="1"/>
  <c r="Z113" i="35" s="1"/>
  <c r="P25" i="34"/>
  <c r="T15" i="37"/>
  <c r="AC112" i="37"/>
  <c r="H16" i="47"/>
  <c r="N33" i="37"/>
  <c r="P19" i="37"/>
  <c r="U95" i="37"/>
  <c r="U104" i="37"/>
  <c r="U109" i="37" s="1"/>
  <c r="H14" i="47"/>
  <c r="AA112" i="37"/>
  <c r="V112" i="37"/>
  <c r="H9" i="47"/>
  <c r="Y94" i="35"/>
  <c r="Y106" i="35" s="1"/>
  <c r="Y92" i="35"/>
  <c r="Y104" i="35" s="1"/>
  <c r="V65" i="35"/>
  <c r="V81" i="35" s="1"/>
  <c r="V93" i="35" s="1"/>
  <c r="V105" i="35" s="1"/>
  <c r="V113" i="35" s="1"/>
  <c r="AD94" i="35"/>
  <c r="AD106" i="35" s="1"/>
  <c r="AD92" i="35"/>
  <c r="Z104" i="35"/>
  <c r="U81" i="35"/>
  <c r="Z94" i="35"/>
  <c r="Z106" i="35" s="1"/>
  <c r="W92" i="35"/>
  <c r="N19" i="35"/>
  <c r="N29" i="35" s="1"/>
  <c r="N33" i="35" s="1"/>
  <c r="P15" i="35"/>
  <c r="AB65" i="35"/>
  <c r="AB81" i="35" s="1"/>
  <c r="Y93" i="35"/>
  <c r="Y105" i="35" s="1"/>
  <c r="Y113" i="35" s="1"/>
  <c r="AD93" i="35"/>
  <c r="AD105" i="35" s="1"/>
  <c r="AD113" i="35" s="1"/>
  <c r="AA93" i="35"/>
  <c r="AA105" i="35" s="1"/>
  <c r="AA113" i="35" s="1"/>
  <c r="AF63" i="35"/>
  <c r="X65" i="35"/>
  <c r="X81" i="35" s="1"/>
  <c r="AA92" i="35"/>
  <c r="AC65" i="35"/>
  <c r="AC81" i="35" s="1"/>
  <c r="W93" i="35"/>
  <c r="W105" i="35" s="1"/>
  <c r="W113" i="35" s="1"/>
  <c r="X114" i="34"/>
  <c r="X87" i="34"/>
  <c r="AD98" i="34"/>
  <c r="AD62" i="34"/>
  <c r="AD100" i="34"/>
  <c r="AD64" i="34"/>
  <c r="Z98" i="34"/>
  <c r="Z62" i="34"/>
  <c r="Y86" i="34"/>
  <c r="V100" i="34"/>
  <c r="V87" i="34"/>
  <c r="V64" i="34"/>
  <c r="V114" i="34"/>
  <c r="U100" i="34"/>
  <c r="U87" i="34"/>
  <c r="AF70" i="34"/>
  <c r="U114" i="34"/>
  <c r="U64" i="34"/>
  <c r="P7" i="34"/>
  <c r="AC98" i="34"/>
  <c r="AC69" i="34"/>
  <c r="AC62" i="34"/>
  <c r="AC85" i="34"/>
  <c r="Y100" i="34"/>
  <c r="Y87" i="34"/>
  <c r="Y114" i="34"/>
  <c r="Y64" i="34"/>
  <c r="Z86" i="34"/>
  <c r="Z63" i="34"/>
  <c r="Z99" i="34"/>
  <c r="D9" i="34"/>
  <c r="P9" i="34" s="1"/>
  <c r="AC100" i="34"/>
  <c r="AC114" i="34"/>
  <c r="AC87" i="34"/>
  <c r="AC64" i="34"/>
  <c r="AA85" i="34"/>
  <c r="AA62" i="34"/>
  <c r="AA69" i="34"/>
  <c r="AA98" i="34"/>
  <c r="W85" i="34"/>
  <c r="W69" i="34"/>
  <c r="W62" i="34"/>
  <c r="W98" i="34"/>
  <c r="X98" i="34"/>
  <c r="X85" i="34"/>
  <c r="X62" i="34"/>
  <c r="X69" i="34"/>
  <c r="AF68" i="34"/>
  <c r="AA114" i="34"/>
  <c r="AA87" i="34"/>
  <c r="AA100" i="34"/>
  <c r="AA64" i="34"/>
  <c r="AB69" i="34"/>
  <c r="AB62" i="34"/>
  <c r="AB98" i="34"/>
  <c r="AB85" i="34"/>
  <c r="U69" i="34"/>
  <c r="V98" i="34"/>
  <c r="V69" i="34"/>
  <c r="V62" i="34"/>
  <c r="V85" i="34"/>
  <c r="Z78" i="34"/>
  <c r="Z80" i="34" s="1"/>
  <c r="AD99" i="34"/>
  <c r="AD86" i="34"/>
  <c r="AD63" i="34"/>
  <c r="V115" i="31"/>
  <c r="V115" i="50" s="1"/>
  <c r="W115" i="31"/>
  <c r="W115" i="50" s="1"/>
  <c r="X115" i="31"/>
  <c r="X115" i="50" s="1"/>
  <c r="Y115" i="31"/>
  <c r="Y115" i="50" s="1"/>
  <c r="Z115" i="31"/>
  <c r="Z115" i="50" s="1"/>
  <c r="AA115" i="31"/>
  <c r="AA115" i="50" s="1"/>
  <c r="AB115" i="31"/>
  <c r="AB115" i="50" s="1"/>
  <c r="AC115" i="31"/>
  <c r="AC115" i="50" s="1"/>
  <c r="AD115" i="31"/>
  <c r="AD115" i="50" s="1"/>
  <c r="U115" i="31"/>
  <c r="U115" i="50" s="1"/>
  <c r="L19" i="47" l="1"/>
  <c r="R18" i="47"/>
  <c r="N45" i="37"/>
  <c r="N38" i="37"/>
  <c r="P42" i="43"/>
  <c r="P45" i="43" s="1"/>
  <c r="P49" i="43" s="1"/>
  <c r="D45" i="43"/>
  <c r="L45" i="50"/>
  <c r="F26" i="41"/>
  <c r="R25" i="41"/>
  <c r="F24" i="47"/>
  <c r="F20" i="45"/>
  <c r="N45" i="35"/>
  <c r="N38" i="35"/>
  <c r="W16" i="41"/>
  <c r="J9" i="33" s="1"/>
  <c r="H73" i="33" s="1"/>
  <c r="H75" i="33" s="1"/>
  <c r="F42" i="51"/>
  <c r="F38" i="51"/>
  <c r="P36" i="51"/>
  <c r="G28" i="41"/>
  <c r="H28" i="41" s="1"/>
  <c r="S27" i="41"/>
  <c r="M21" i="47"/>
  <c r="S21" i="47" s="1"/>
  <c r="G26" i="47"/>
  <c r="H94" i="34"/>
  <c r="H95" i="34" s="1"/>
  <c r="H96" i="34" s="1"/>
  <c r="H97" i="34" s="1"/>
  <c r="H98" i="34" s="1"/>
  <c r="H99" i="34" s="1"/>
  <c r="H100" i="34" s="1"/>
  <c r="P33" i="42"/>
  <c r="H38" i="42"/>
  <c r="Z109" i="35"/>
  <c r="Y112" i="35"/>
  <c r="Y109" i="35"/>
  <c r="H18" i="41"/>
  <c r="H20" i="41"/>
  <c r="H21" i="41"/>
  <c r="H22" i="41"/>
  <c r="H23" i="41"/>
  <c r="H24" i="41"/>
  <c r="H25" i="41"/>
  <c r="H26" i="41"/>
  <c r="H27" i="41"/>
  <c r="M39" i="41"/>
  <c r="I18" i="41"/>
  <c r="I19" i="41"/>
  <c r="I20" i="41"/>
  <c r="I21" i="41"/>
  <c r="I22" i="41"/>
  <c r="I23" i="41"/>
  <c r="I24" i="41"/>
  <c r="I25" i="41"/>
  <c r="I26" i="41"/>
  <c r="I27" i="41"/>
  <c r="Y99" i="34"/>
  <c r="Y101" i="34" s="1"/>
  <c r="Z101" i="34"/>
  <c r="G22" i="45"/>
  <c r="D36" i="42"/>
  <c r="F36" i="42"/>
  <c r="AB115" i="34"/>
  <c r="AB118" i="37"/>
  <c r="U115" i="34"/>
  <c r="AA115" i="34"/>
  <c r="W115" i="34"/>
  <c r="W118" i="37"/>
  <c r="AD115" i="34"/>
  <c r="AD118" i="37"/>
  <c r="Z115" i="34"/>
  <c r="Z118" i="37"/>
  <c r="V115" i="34"/>
  <c r="V118" i="37"/>
  <c r="X115" i="34"/>
  <c r="X118" i="37"/>
  <c r="AC115" i="34"/>
  <c r="AC118" i="37"/>
  <c r="Y115" i="34"/>
  <c r="Y118" i="37"/>
  <c r="AA118" i="37"/>
  <c r="AD101" i="34"/>
  <c r="U112" i="37"/>
  <c r="H8" i="47"/>
  <c r="P18" i="37"/>
  <c r="P23" i="37"/>
  <c r="AF62" i="34"/>
  <c r="Y89" i="34"/>
  <c r="E44" i="33"/>
  <c r="Y95" i="35"/>
  <c r="V92" i="35"/>
  <c r="V94" i="35"/>
  <c r="V106" i="35" s="1"/>
  <c r="AC94" i="35"/>
  <c r="AC106" i="35" s="1"/>
  <c r="AC92" i="35"/>
  <c r="T15" i="35"/>
  <c r="Z112" i="35"/>
  <c r="Z118" i="35" s="1"/>
  <c r="I13" i="45" s="1"/>
  <c r="H13" i="45"/>
  <c r="H12" i="45"/>
  <c r="AA95" i="35"/>
  <c r="AA104" i="35"/>
  <c r="AA109" i="35" s="1"/>
  <c r="P19" i="35"/>
  <c r="Z95" i="35"/>
  <c r="Y118" i="35"/>
  <c r="I12" i="45" s="1"/>
  <c r="X92" i="35"/>
  <c r="X94" i="35"/>
  <c r="X106" i="35" s="1"/>
  <c r="U94" i="35"/>
  <c r="U106" i="35" s="1"/>
  <c r="U92" i="35"/>
  <c r="X93" i="35"/>
  <c r="X105" i="35" s="1"/>
  <c r="X113" i="35" s="1"/>
  <c r="AD95" i="35"/>
  <c r="AD104" i="35"/>
  <c r="AD109" i="35" s="1"/>
  <c r="U93" i="35"/>
  <c r="U105" i="35" s="1"/>
  <c r="U113" i="35" s="1"/>
  <c r="AC93" i="35"/>
  <c r="AC105" i="35" s="1"/>
  <c r="AC113" i="35" s="1"/>
  <c r="AB92" i="35"/>
  <c r="AB94" i="35"/>
  <c r="AB106" i="35" s="1"/>
  <c r="W95" i="35"/>
  <c r="W104" i="35"/>
  <c r="W109" i="35" s="1"/>
  <c r="AF65" i="35"/>
  <c r="AB93" i="35"/>
  <c r="AB105" i="35" s="1"/>
  <c r="AB113" i="35" s="1"/>
  <c r="AB99" i="34"/>
  <c r="AB101" i="34" s="1"/>
  <c r="AB86" i="34"/>
  <c r="AB89" i="34" s="1"/>
  <c r="AB63" i="34"/>
  <c r="AB65" i="34" s="1"/>
  <c r="AB81" i="34" s="1"/>
  <c r="W99" i="34"/>
  <c r="W101" i="34" s="1"/>
  <c r="W63" i="34"/>
  <c r="W65" i="34" s="1"/>
  <c r="W81" i="34" s="1"/>
  <c r="W94" i="34" s="1"/>
  <c r="W106" i="34" s="1"/>
  <c r="W86" i="34"/>
  <c r="W89" i="34" s="1"/>
  <c r="Z65" i="34"/>
  <c r="Z81" i="34" s="1"/>
  <c r="AD65" i="34"/>
  <c r="AD81" i="34" s="1"/>
  <c r="AF64" i="34"/>
  <c r="X99" i="34"/>
  <c r="X101" i="34" s="1"/>
  <c r="X86" i="34"/>
  <c r="X89" i="34" s="1"/>
  <c r="X63" i="34"/>
  <c r="AD89" i="34"/>
  <c r="Y65" i="34"/>
  <c r="Y81" i="34" s="1"/>
  <c r="Y92" i="34" s="1"/>
  <c r="AC86" i="34"/>
  <c r="AC89" i="34" s="1"/>
  <c r="AC63" i="34"/>
  <c r="AC65" i="34" s="1"/>
  <c r="AC81" i="34" s="1"/>
  <c r="AC92" i="34" s="1"/>
  <c r="AC99" i="34"/>
  <c r="AC101" i="34" s="1"/>
  <c r="T6" i="34"/>
  <c r="P8" i="34"/>
  <c r="V99" i="34"/>
  <c r="V101" i="34" s="1"/>
  <c r="V86" i="34"/>
  <c r="V63" i="34"/>
  <c r="V65" i="34" s="1"/>
  <c r="V81" i="34" s="1"/>
  <c r="U86" i="34"/>
  <c r="AF69" i="34"/>
  <c r="U63" i="34"/>
  <c r="U99" i="34"/>
  <c r="U101" i="34" s="1"/>
  <c r="AA99" i="34"/>
  <c r="AA101" i="34" s="1"/>
  <c r="AA86" i="34"/>
  <c r="AA63" i="34"/>
  <c r="AA65" i="34" s="1"/>
  <c r="AA81" i="34" s="1"/>
  <c r="Z89" i="34"/>
  <c r="I28" i="41" l="1"/>
  <c r="P35" i="51"/>
  <c r="P38" i="51"/>
  <c r="F21" i="45"/>
  <c r="F27" i="41"/>
  <c r="R26" i="41"/>
  <c r="F38" i="42"/>
  <c r="F42" i="42"/>
  <c r="F45" i="42" s="1"/>
  <c r="F45" i="51"/>
  <c r="P42" i="51"/>
  <c r="P45" i="51" s="1"/>
  <c r="L20" i="47"/>
  <c r="R19" i="47"/>
  <c r="D49" i="42"/>
  <c r="D42" i="42"/>
  <c r="F25" i="47"/>
  <c r="G29" i="41"/>
  <c r="S28" i="41"/>
  <c r="G27" i="47"/>
  <c r="M22" i="47"/>
  <c r="S22" i="47" s="1"/>
  <c r="D38" i="42"/>
  <c r="P36" i="42"/>
  <c r="P35" i="42" s="1"/>
  <c r="Y120" i="35"/>
  <c r="D32" i="33" s="1"/>
  <c r="Z120" i="35"/>
  <c r="D33" i="33" s="1"/>
  <c r="J25" i="41"/>
  <c r="J21" i="41"/>
  <c r="J27" i="41"/>
  <c r="J23" i="41"/>
  <c r="J19" i="41"/>
  <c r="J26" i="41"/>
  <c r="J22" i="41"/>
  <c r="J28" i="41"/>
  <c r="J24" i="41"/>
  <c r="J20" i="41"/>
  <c r="J18" i="41"/>
  <c r="M40" i="41"/>
  <c r="Y93" i="34"/>
  <c r="Y105" i="34" s="1"/>
  <c r="Y113" i="34" s="1"/>
  <c r="AC120" i="37"/>
  <c r="D59" i="33" s="1"/>
  <c r="I16" i="47"/>
  <c r="V120" i="37"/>
  <c r="D52" i="33" s="1"/>
  <c r="I9" i="47"/>
  <c r="AD120" i="37"/>
  <c r="D60" i="33" s="1"/>
  <c r="I17" i="47"/>
  <c r="G23" i="45"/>
  <c r="J12" i="45"/>
  <c r="AA120" i="37"/>
  <c r="D57" i="33" s="1"/>
  <c r="I14" i="47"/>
  <c r="J13" i="45"/>
  <c r="Y120" i="37"/>
  <c r="D55" i="33" s="1"/>
  <c r="I12" i="47"/>
  <c r="X120" i="37"/>
  <c r="D54" i="33" s="1"/>
  <c r="I11" i="47"/>
  <c r="J11" i="47" s="1"/>
  <c r="Z120" i="37"/>
  <c r="D56" i="33" s="1"/>
  <c r="I13" i="47"/>
  <c r="W120" i="37"/>
  <c r="D53" i="33" s="1"/>
  <c r="I10" i="47"/>
  <c r="AB120" i="37"/>
  <c r="D58" i="33" s="1"/>
  <c r="I15" i="47"/>
  <c r="B71" i="41"/>
  <c r="N20" i="41" s="1"/>
  <c r="C71" i="41"/>
  <c r="O20" i="41" s="1"/>
  <c r="U118" i="37"/>
  <c r="H33" i="37"/>
  <c r="F29" i="37"/>
  <c r="F33" i="37" s="1"/>
  <c r="D29" i="37"/>
  <c r="D33" i="37" s="1"/>
  <c r="Y94" i="34"/>
  <c r="Y106" i="34" s="1"/>
  <c r="V104" i="35"/>
  <c r="V95" i="35"/>
  <c r="H10" i="45"/>
  <c r="W112" i="35"/>
  <c r="W118" i="35" s="1"/>
  <c r="I10" i="45" s="1"/>
  <c r="U95" i="35"/>
  <c r="U104" i="35"/>
  <c r="U109" i="35" s="1"/>
  <c r="P18" i="35"/>
  <c r="D29" i="35"/>
  <c r="D33" i="35" s="1"/>
  <c r="AD112" i="35"/>
  <c r="AD118" i="35" s="1"/>
  <c r="I17" i="45" s="1"/>
  <c r="H17" i="45"/>
  <c r="X95" i="35"/>
  <c r="X104" i="35"/>
  <c r="X109" i="35" s="1"/>
  <c r="AC95" i="35"/>
  <c r="AC104" i="35"/>
  <c r="AC109" i="35" s="1"/>
  <c r="AB95" i="35"/>
  <c r="AB104" i="35"/>
  <c r="AB109" i="35" s="1"/>
  <c r="H14" i="45"/>
  <c r="AA112" i="35"/>
  <c r="AA118" i="35" s="1"/>
  <c r="I14" i="45" s="1"/>
  <c r="AB94" i="34"/>
  <c r="AB106" i="34" s="1"/>
  <c r="AB92" i="34"/>
  <c r="AB104" i="34" s="1"/>
  <c r="V94" i="34"/>
  <c r="V106" i="34" s="1"/>
  <c r="V92" i="34"/>
  <c r="V104" i="34" s="1"/>
  <c r="AC104" i="34"/>
  <c r="Z92" i="34"/>
  <c r="Z94" i="34"/>
  <c r="Z106" i="34" s="1"/>
  <c r="Z93" i="34"/>
  <c r="Z105" i="34" s="1"/>
  <c r="Z113" i="34" s="1"/>
  <c r="AA92" i="34"/>
  <c r="AA94" i="34"/>
  <c r="AA106" i="34" s="1"/>
  <c r="AF63" i="34"/>
  <c r="U65" i="34"/>
  <c r="AD92" i="34"/>
  <c r="AD94" i="34"/>
  <c r="AD106" i="34" s="1"/>
  <c r="W92" i="34"/>
  <c r="AC93" i="34"/>
  <c r="AC105" i="34" s="1"/>
  <c r="AC113" i="34" s="1"/>
  <c r="V89" i="34"/>
  <c r="AD93" i="34"/>
  <c r="AD105" i="34" s="1"/>
  <c r="AD113" i="34" s="1"/>
  <c r="AA93" i="34"/>
  <c r="AA105" i="34" s="1"/>
  <c r="AA113" i="34" s="1"/>
  <c r="U89" i="34"/>
  <c r="AC94" i="34"/>
  <c r="AC106" i="34" s="1"/>
  <c r="W93" i="34"/>
  <c r="W105" i="34" s="1"/>
  <c r="W113" i="34" s="1"/>
  <c r="X65" i="34"/>
  <c r="X81" i="34" s="1"/>
  <c r="X93" i="34" s="1"/>
  <c r="X105" i="34" s="1"/>
  <c r="X113" i="34" s="1"/>
  <c r="V93" i="34"/>
  <c r="V105" i="34" s="1"/>
  <c r="U6" i="34"/>
  <c r="T7" i="34"/>
  <c r="Y104" i="34"/>
  <c r="AA89" i="34"/>
  <c r="AB93" i="34"/>
  <c r="AB105" i="34" s="1"/>
  <c r="AB113" i="34" s="1"/>
  <c r="L29" i="31"/>
  <c r="L33" i="31" s="1"/>
  <c r="P16" i="31"/>
  <c r="D18" i="31"/>
  <c r="D28" i="31" s="1"/>
  <c r="Y109" i="34" l="1"/>
  <c r="Y95" i="34"/>
  <c r="L45" i="31"/>
  <c r="L38" i="31"/>
  <c r="L21" i="47"/>
  <c r="R20" i="47"/>
  <c r="F22" i="45"/>
  <c r="P42" i="42"/>
  <c r="P45" i="42" s="1"/>
  <c r="D45" i="42"/>
  <c r="P33" i="35"/>
  <c r="F28" i="41"/>
  <c r="R27" i="41"/>
  <c r="H45" i="37"/>
  <c r="H38" i="37"/>
  <c r="F26" i="47"/>
  <c r="G30" i="41"/>
  <c r="S29" i="41"/>
  <c r="H29" i="41"/>
  <c r="I29" i="41"/>
  <c r="M23" i="47"/>
  <c r="S23" i="47" s="1"/>
  <c r="G28" i="47"/>
  <c r="P38" i="42"/>
  <c r="P33" i="37"/>
  <c r="P23" i="35"/>
  <c r="P21" i="35" s="1"/>
  <c r="V112" i="34"/>
  <c r="V109" i="34"/>
  <c r="AB109" i="34"/>
  <c r="N15" i="47" s="1"/>
  <c r="T15" i="47" s="1"/>
  <c r="AC109" i="34"/>
  <c r="N16" i="47" s="1"/>
  <c r="T16" i="47" s="1"/>
  <c r="V112" i="35"/>
  <c r="V118" i="35" s="1"/>
  <c r="I9" i="45" s="1"/>
  <c r="V109" i="35"/>
  <c r="AA120" i="35"/>
  <c r="D34" i="33" s="1"/>
  <c r="W120" i="35"/>
  <c r="D30" i="33" s="1"/>
  <c r="AD120" i="35"/>
  <c r="D37" i="33" s="1"/>
  <c r="B72" i="41"/>
  <c r="N18" i="41"/>
  <c r="T18" i="41" s="1"/>
  <c r="N19" i="41"/>
  <c r="T19" i="41" s="1"/>
  <c r="T20" i="41"/>
  <c r="N21" i="41"/>
  <c r="T21" i="41" s="1"/>
  <c r="N22" i="41"/>
  <c r="T22" i="41" s="1"/>
  <c r="N23" i="41"/>
  <c r="T23" i="41" s="1"/>
  <c r="N24" i="41"/>
  <c r="T24" i="41" s="1"/>
  <c r="N25" i="41"/>
  <c r="T25" i="41" s="1"/>
  <c r="N26" i="41"/>
  <c r="T26" i="41" s="1"/>
  <c r="N27" i="41"/>
  <c r="T27" i="41" s="1"/>
  <c r="N28" i="41"/>
  <c r="T28" i="41" s="1"/>
  <c r="N29" i="41"/>
  <c r="T29" i="41" s="1"/>
  <c r="N30" i="41"/>
  <c r="N31" i="41"/>
  <c r="N32" i="41"/>
  <c r="N33" i="41"/>
  <c r="N34" i="41"/>
  <c r="N35" i="41"/>
  <c r="N36" i="41"/>
  <c r="N37" i="41"/>
  <c r="N38" i="41"/>
  <c r="N39" i="41"/>
  <c r="M41" i="41"/>
  <c r="N40" i="41"/>
  <c r="O40" i="41"/>
  <c r="C72" i="41"/>
  <c r="O18" i="41"/>
  <c r="U18" i="41" s="1"/>
  <c r="O19" i="41"/>
  <c r="U19" i="41" s="1"/>
  <c r="U20" i="41"/>
  <c r="O21" i="41"/>
  <c r="U21" i="41" s="1"/>
  <c r="O22" i="41"/>
  <c r="U22" i="41" s="1"/>
  <c r="O23" i="41"/>
  <c r="U23" i="41" s="1"/>
  <c r="O24" i="41"/>
  <c r="U24" i="41" s="1"/>
  <c r="O25" i="41"/>
  <c r="U25" i="41" s="1"/>
  <c r="O26" i="41"/>
  <c r="U26" i="41" s="1"/>
  <c r="O27" i="41"/>
  <c r="U27" i="41" s="1"/>
  <c r="O28" i="41"/>
  <c r="U28" i="41" s="1"/>
  <c r="O29" i="41"/>
  <c r="U29" i="41" s="1"/>
  <c r="O30" i="41"/>
  <c r="O31" i="41"/>
  <c r="O32" i="41"/>
  <c r="O33" i="41"/>
  <c r="O34" i="41"/>
  <c r="O35" i="41"/>
  <c r="O36" i="41"/>
  <c r="O37" i="41"/>
  <c r="O38" i="41"/>
  <c r="O39" i="41"/>
  <c r="U120" i="37"/>
  <c r="I8" i="47"/>
  <c r="J10" i="47"/>
  <c r="J14" i="45"/>
  <c r="J10" i="45"/>
  <c r="J9" i="47"/>
  <c r="G24" i="45"/>
  <c r="J14" i="47"/>
  <c r="J17" i="47"/>
  <c r="J16" i="47"/>
  <c r="J17" i="45"/>
  <c r="J15" i="47"/>
  <c r="J13" i="47"/>
  <c r="J12" i="47"/>
  <c r="D36" i="37"/>
  <c r="D42" i="37" s="1"/>
  <c r="D45" i="37" s="1"/>
  <c r="F36" i="37"/>
  <c r="F38" i="37" s="1"/>
  <c r="P21" i="37"/>
  <c r="P29" i="37"/>
  <c r="P29" i="35"/>
  <c r="P28" i="35" s="1"/>
  <c r="AC95" i="34"/>
  <c r="U112" i="35"/>
  <c r="U118" i="35" s="1"/>
  <c r="I8" i="45" s="1"/>
  <c r="H15" i="45"/>
  <c r="AB112" i="35"/>
  <c r="AB118" i="35" s="1"/>
  <c r="I15" i="45" s="1"/>
  <c r="AC112" i="35"/>
  <c r="AC118" i="35" s="1"/>
  <c r="I16" i="45" s="1"/>
  <c r="H16" i="45"/>
  <c r="H11" i="45"/>
  <c r="X112" i="35"/>
  <c r="X118" i="35" s="1"/>
  <c r="I11" i="45" s="1"/>
  <c r="D36" i="35"/>
  <c r="D42" i="35" s="1"/>
  <c r="P42" i="35" s="1"/>
  <c r="P45" i="35" s="1"/>
  <c r="V113" i="34"/>
  <c r="N9" i="47"/>
  <c r="T9" i="47" s="1"/>
  <c r="AB112" i="34"/>
  <c r="AF65" i="34"/>
  <c r="U81" i="34"/>
  <c r="U92" i="34" s="1"/>
  <c r="U104" i="34" s="1"/>
  <c r="AA95" i="34"/>
  <c r="AA104" i="34"/>
  <c r="AA109" i="34" s="1"/>
  <c r="T9" i="34"/>
  <c r="N15" i="34" s="1"/>
  <c r="AD95" i="34"/>
  <c r="AD104" i="34"/>
  <c r="AD109" i="34" s="1"/>
  <c r="Z95" i="34"/>
  <c r="Z104" i="34"/>
  <c r="Z109" i="34" s="1"/>
  <c r="AC112" i="34"/>
  <c r="N12" i="47"/>
  <c r="Y112" i="34"/>
  <c r="W95" i="34"/>
  <c r="W104" i="34"/>
  <c r="W109" i="34" s="1"/>
  <c r="X94" i="34"/>
  <c r="X106" i="34" s="1"/>
  <c r="X92" i="34"/>
  <c r="V95" i="34"/>
  <c r="AB95" i="34"/>
  <c r="AF120" i="37" l="1"/>
  <c r="D51" i="33"/>
  <c r="D61" i="33" s="1"/>
  <c r="D63" i="33" s="1"/>
  <c r="D65" i="33" s="1"/>
  <c r="F29" i="41"/>
  <c r="R28" i="41"/>
  <c r="D45" i="35"/>
  <c r="D38" i="37"/>
  <c r="L22" i="47"/>
  <c r="R21" i="47"/>
  <c r="F42" i="37"/>
  <c r="F45" i="37" s="1"/>
  <c r="F36" i="50"/>
  <c r="P42" i="37"/>
  <c r="P45" i="37" s="1"/>
  <c r="F27" i="47"/>
  <c r="D38" i="35"/>
  <c r="F23" i="45"/>
  <c r="J29" i="41"/>
  <c r="G31" i="41"/>
  <c r="S30" i="41"/>
  <c r="I30" i="41"/>
  <c r="U30" i="41" s="1"/>
  <c r="H30" i="41"/>
  <c r="T30" i="41" s="1"/>
  <c r="G29" i="47"/>
  <c r="M24" i="47"/>
  <c r="S24" i="47" s="1"/>
  <c r="V120" i="35"/>
  <c r="D29" i="33" s="1"/>
  <c r="X120" i="35"/>
  <c r="D31" i="33" s="1"/>
  <c r="AC120" i="35"/>
  <c r="D36" i="33" s="1"/>
  <c r="AB120" i="35"/>
  <c r="D35" i="33" s="1"/>
  <c r="U120" i="35"/>
  <c r="D28" i="33" s="1"/>
  <c r="P39" i="41"/>
  <c r="P35" i="41"/>
  <c r="P31" i="41"/>
  <c r="P27" i="41"/>
  <c r="P23" i="41"/>
  <c r="P19" i="41"/>
  <c r="P36" i="41"/>
  <c r="P32" i="41"/>
  <c r="P28" i="41"/>
  <c r="P24" i="41"/>
  <c r="P20" i="41"/>
  <c r="P40" i="41"/>
  <c r="P38" i="41"/>
  <c r="P34" i="41"/>
  <c r="P30" i="41"/>
  <c r="P26" i="41"/>
  <c r="P22" i="41"/>
  <c r="P18" i="41"/>
  <c r="M42" i="41"/>
  <c r="O41" i="41"/>
  <c r="N41" i="41"/>
  <c r="P37" i="41"/>
  <c r="P33" i="41"/>
  <c r="P29" i="41"/>
  <c r="P25" i="41"/>
  <c r="P21" i="41"/>
  <c r="H9" i="45"/>
  <c r="H8" i="45"/>
  <c r="J11" i="45"/>
  <c r="G25" i="45"/>
  <c r="J8" i="47"/>
  <c r="J16" i="45"/>
  <c r="T12" i="47"/>
  <c r="J15" i="45"/>
  <c r="B70" i="45"/>
  <c r="P36" i="37"/>
  <c r="P38" i="37" s="1"/>
  <c r="D49" i="37"/>
  <c r="P36" i="35"/>
  <c r="P38" i="35" s="1"/>
  <c r="D49" i="35"/>
  <c r="P28" i="37"/>
  <c r="N17" i="47"/>
  <c r="T17" i="47" s="1"/>
  <c r="AD112" i="34"/>
  <c r="AA112" i="34"/>
  <c r="N14" i="47"/>
  <c r="N13" i="47"/>
  <c r="T13" i="47" s="1"/>
  <c r="Z112" i="34"/>
  <c r="X95" i="34"/>
  <c r="X104" i="34"/>
  <c r="X109" i="34" s="1"/>
  <c r="P15" i="34"/>
  <c r="N19" i="34"/>
  <c r="U94" i="34"/>
  <c r="U106" i="34" s="1"/>
  <c r="U93" i="34"/>
  <c r="U105" i="34" s="1"/>
  <c r="U113" i="34" s="1"/>
  <c r="W112" i="34"/>
  <c r="N10" i="47"/>
  <c r="T11" i="34"/>
  <c r="T120" i="31"/>
  <c r="E27" i="33" s="1"/>
  <c r="I72" i="33" s="1"/>
  <c r="AD73" i="31"/>
  <c r="AD75" i="31" s="1"/>
  <c r="L17" i="45" s="1"/>
  <c r="AC73" i="31"/>
  <c r="AB73" i="31"/>
  <c r="AB88" i="31" s="1"/>
  <c r="AB107" i="31" s="1"/>
  <c r="AA73" i="31"/>
  <c r="AA88" i="31" s="1"/>
  <c r="AA107" i="31" s="1"/>
  <c r="Z73" i="31"/>
  <c r="Z88" i="31" s="1"/>
  <c r="Z107" i="31" s="1"/>
  <c r="Y73" i="31"/>
  <c r="Y75" i="31" s="1"/>
  <c r="L12" i="45" s="1"/>
  <c r="R12" i="45" s="1"/>
  <c r="X73" i="31"/>
  <c r="X88" i="31" s="1"/>
  <c r="X107" i="31" s="1"/>
  <c r="W73" i="31"/>
  <c r="W88" i="31" s="1"/>
  <c r="W107" i="31" s="1"/>
  <c r="V73" i="31"/>
  <c r="V88" i="31" s="1"/>
  <c r="V107" i="31" s="1"/>
  <c r="U73" i="31"/>
  <c r="AF71" i="31"/>
  <c r="P40" i="31"/>
  <c r="Z116" i="31" s="1"/>
  <c r="D19" i="31"/>
  <c r="D13" i="31"/>
  <c r="P11" i="31"/>
  <c r="X68" i="31" s="1"/>
  <c r="D8" i="31"/>
  <c r="D6" i="31" s="1"/>
  <c r="Z116" i="34" l="1"/>
  <c r="Z116" i="50"/>
  <c r="Z118" i="50" s="1"/>
  <c r="Z120" i="50" s="1"/>
  <c r="L23" i="47"/>
  <c r="R22" i="47"/>
  <c r="F30" i="41"/>
  <c r="R29" i="41"/>
  <c r="F42" i="50"/>
  <c r="F38" i="50"/>
  <c r="D49" i="50"/>
  <c r="P36" i="50"/>
  <c r="F28" i="47"/>
  <c r="L18" i="45"/>
  <c r="R17" i="45"/>
  <c r="D38" i="33"/>
  <c r="D40" i="33" s="1"/>
  <c r="D42" i="33" s="1"/>
  <c r="F24" i="45"/>
  <c r="G32" i="41"/>
  <c r="S31" i="41"/>
  <c r="H31" i="41"/>
  <c r="I31" i="41"/>
  <c r="U31" i="41" s="1"/>
  <c r="J30" i="41"/>
  <c r="M25" i="47"/>
  <c r="S25" i="47" s="1"/>
  <c r="G30" i="47"/>
  <c r="P19" i="34"/>
  <c r="N29" i="34"/>
  <c r="H24" i="45"/>
  <c r="H21" i="45"/>
  <c r="P35" i="37"/>
  <c r="V26" i="41"/>
  <c r="V25" i="41"/>
  <c r="H18" i="45"/>
  <c r="H19" i="45"/>
  <c r="H20" i="45"/>
  <c r="H22" i="45"/>
  <c r="H23" i="45"/>
  <c r="H25" i="45"/>
  <c r="U109" i="34"/>
  <c r="V19" i="41"/>
  <c r="V30" i="41"/>
  <c r="V29" i="41"/>
  <c r="P41" i="41"/>
  <c r="AF120" i="35"/>
  <c r="V22" i="41"/>
  <c r="V21" i="41"/>
  <c r="V28" i="41"/>
  <c r="V24" i="41"/>
  <c r="V27" i="41"/>
  <c r="V18" i="41"/>
  <c r="V20" i="41"/>
  <c r="V23" i="41"/>
  <c r="M43" i="41"/>
  <c r="O42" i="41"/>
  <c r="N42" i="41"/>
  <c r="J8" i="45"/>
  <c r="M18" i="45"/>
  <c r="S18" i="45" s="1"/>
  <c r="B70" i="47"/>
  <c r="H29" i="47" s="1"/>
  <c r="C70" i="47"/>
  <c r="T10" i="47"/>
  <c r="T14" i="47"/>
  <c r="C70" i="45"/>
  <c r="I25" i="45" s="1"/>
  <c r="G26" i="45"/>
  <c r="J9" i="45"/>
  <c r="P35" i="35"/>
  <c r="Z118" i="34"/>
  <c r="N33" i="34"/>
  <c r="X112" i="34"/>
  <c r="N11" i="47"/>
  <c r="T14" i="34"/>
  <c r="T13" i="34" s="1"/>
  <c r="T17" i="34" s="1"/>
  <c r="D22" i="34" s="1"/>
  <c r="U95" i="34"/>
  <c r="Z75" i="31"/>
  <c r="L13" i="45" s="1"/>
  <c r="R13" i="45" s="1"/>
  <c r="AD88" i="31"/>
  <c r="AD107" i="31" s="1"/>
  <c r="AB75" i="31"/>
  <c r="AA75" i="31"/>
  <c r="L14" i="45" s="1"/>
  <c r="R14" i="45" s="1"/>
  <c r="Y88" i="31"/>
  <c r="Y107" i="31" s="1"/>
  <c r="W75" i="31"/>
  <c r="L10" i="45" s="1"/>
  <c r="R10" i="45" s="1"/>
  <c r="P26" i="31"/>
  <c r="P25" i="31" s="1"/>
  <c r="D7" i="31"/>
  <c r="D9" i="31" s="1"/>
  <c r="P6" i="31"/>
  <c r="T5" i="31" s="1"/>
  <c r="AA70" i="31"/>
  <c r="W70" i="31"/>
  <c r="AD68" i="31"/>
  <c r="Z68" i="31"/>
  <c r="V68" i="31"/>
  <c r="AD70" i="31"/>
  <c r="Y70" i="31"/>
  <c r="AA68" i="31"/>
  <c r="U68" i="31"/>
  <c r="AC70" i="31"/>
  <c r="X70" i="31"/>
  <c r="Y68" i="31"/>
  <c r="AB70" i="31"/>
  <c r="V70" i="31"/>
  <c r="AC68" i="31"/>
  <c r="AB68" i="31"/>
  <c r="AB116" i="31"/>
  <c r="X116" i="31"/>
  <c r="AD116" i="31"/>
  <c r="Y116" i="31"/>
  <c r="AC116" i="31"/>
  <c r="W116" i="31"/>
  <c r="AA116" i="31"/>
  <c r="V116" i="31"/>
  <c r="U75" i="31"/>
  <c r="L8" i="45" s="1"/>
  <c r="R8" i="45" s="1"/>
  <c r="U88" i="31"/>
  <c r="U107" i="31" s="1"/>
  <c r="Y78" i="31"/>
  <c r="Y80" i="31" s="1"/>
  <c r="AC75" i="31"/>
  <c r="L16" i="45" s="1"/>
  <c r="R16" i="45" s="1"/>
  <c r="AC88" i="31"/>
  <c r="AC107" i="31" s="1"/>
  <c r="Z70" i="31"/>
  <c r="U116" i="31"/>
  <c r="W68" i="31"/>
  <c r="W62" i="31" s="1"/>
  <c r="U70" i="31"/>
  <c r="AD78" i="31"/>
  <c r="AD80" i="31" s="1"/>
  <c r="V75" i="31"/>
  <c r="L9" i="45" s="1"/>
  <c r="R9" i="45" s="1"/>
  <c r="X75" i="31"/>
  <c r="L11" i="45" s="1"/>
  <c r="R11" i="45" s="1"/>
  <c r="U116" i="34" l="1"/>
  <c r="U116" i="50"/>
  <c r="U118" i="50" s="1"/>
  <c r="U120" i="50" s="1"/>
  <c r="AA116" i="34"/>
  <c r="AA118" i="34" s="1"/>
  <c r="AA116" i="50"/>
  <c r="AA118" i="50" s="1"/>
  <c r="AA120" i="50" s="1"/>
  <c r="AD116" i="34"/>
  <c r="AD118" i="34" s="1"/>
  <c r="AD116" i="50"/>
  <c r="AD118" i="50" s="1"/>
  <c r="AD120" i="50" s="1"/>
  <c r="N45" i="34"/>
  <c r="N38" i="34"/>
  <c r="F45" i="50"/>
  <c r="P42" i="50"/>
  <c r="P45" i="50" s="1"/>
  <c r="W116" i="34"/>
  <c r="W118" i="34" s="1"/>
  <c r="W116" i="50"/>
  <c r="W118" i="50" s="1"/>
  <c r="W120" i="50" s="1"/>
  <c r="X116" i="34"/>
  <c r="X116" i="50"/>
  <c r="X118" i="50" s="1"/>
  <c r="X120" i="50" s="1"/>
  <c r="AB78" i="31"/>
  <c r="AB80" i="31" s="1"/>
  <c r="L15" i="45"/>
  <c r="R15" i="45" s="1"/>
  <c r="F29" i="47"/>
  <c r="P35" i="50"/>
  <c r="P38" i="50"/>
  <c r="L24" i="47"/>
  <c r="R23" i="47"/>
  <c r="AC116" i="34"/>
  <c r="AC118" i="34" s="1"/>
  <c r="AC116" i="50"/>
  <c r="AC118" i="50" s="1"/>
  <c r="AC120" i="50" s="1"/>
  <c r="AB116" i="34"/>
  <c r="AB118" i="34" s="1"/>
  <c r="AB116" i="50"/>
  <c r="AB118" i="50" s="1"/>
  <c r="AB120" i="50" s="1"/>
  <c r="F25" i="45"/>
  <c r="L19" i="45"/>
  <c r="R18" i="45"/>
  <c r="V116" i="34"/>
  <c r="V118" i="34" s="1"/>
  <c r="V116" i="50"/>
  <c r="V118" i="50" s="1"/>
  <c r="V120" i="50" s="1"/>
  <c r="Y116" i="34"/>
  <c r="Y118" i="34" s="1"/>
  <c r="Y116" i="50"/>
  <c r="Y118" i="50" s="1"/>
  <c r="Y120" i="50" s="1"/>
  <c r="F31" i="41"/>
  <c r="R30" i="41"/>
  <c r="H26" i="45"/>
  <c r="J31" i="41"/>
  <c r="T31" i="41"/>
  <c r="V31" i="41" s="1"/>
  <c r="G33" i="41"/>
  <c r="S32" i="41"/>
  <c r="H32" i="41"/>
  <c r="I32" i="41"/>
  <c r="U32" i="41" s="1"/>
  <c r="H30" i="47"/>
  <c r="G31" i="47"/>
  <c r="H18" i="47"/>
  <c r="H19" i="47"/>
  <c r="H20" i="47"/>
  <c r="H21" i="47"/>
  <c r="H22" i="47"/>
  <c r="H23" i="47"/>
  <c r="H24" i="47"/>
  <c r="H25" i="47"/>
  <c r="H26" i="47"/>
  <c r="H27" i="47"/>
  <c r="H28" i="47"/>
  <c r="M26" i="47"/>
  <c r="S26" i="47" s="1"/>
  <c r="H22" i="34"/>
  <c r="H23" i="34" s="1"/>
  <c r="H29" i="34" s="1"/>
  <c r="F22" i="34"/>
  <c r="F23" i="34" s="1"/>
  <c r="D23" i="34"/>
  <c r="U17" i="34"/>
  <c r="P42" i="41"/>
  <c r="M44" i="41"/>
  <c r="N43" i="41"/>
  <c r="O43" i="41"/>
  <c r="AD120" i="34"/>
  <c r="E60" i="33" s="1"/>
  <c r="O17" i="47"/>
  <c r="U17" i="47" s="1"/>
  <c r="W120" i="34"/>
  <c r="E53" i="33" s="1"/>
  <c r="O10" i="47"/>
  <c r="AA78" i="31"/>
  <c r="AA80" i="31" s="1"/>
  <c r="Z120" i="34"/>
  <c r="E56" i="33" s="1"/>
  <c r="O13" i="47"/>
  <c r="AA120" i="34"/>
  <c r="E57" i="33" s="1"/>
  <c r="O14" i="47"/>
  <c r="Z78" i="31"/>
  <c r="Z80" i="31" s="1"/>
  <c r="T11" i="47"/>
  <c r="G27" i="45"/>
  <c r="I26" i="45"/>
  <c r="I18" i="45"/>
  <c r="I19" i="45"/>
  <c r="I20" i="45"/>
  <c r="I21" i="45"/>
  <c r="I22" i="45"/>
  <c r="I23" i="45"/>
  <c r="I24" i="45"/>
  <c r="M19" i="45"/>
  <c r="S19" i="45" s="1"/>
  <c r="AC120" i="34"/>
  <c r="E59" i="33" s="1"/>
  <c r="O16" i="47"/>
  <c r="U16" i="47" s="1"/>
  <c r="AB120" i="34"/>
  <c r="E58" i="33" s="1"/>
  <c r="O15" i="47"/>
  <c r="J25" i="45"/>
  <c r="V120" i="34"/>
  <c r="E52" i="33" s="1"/>
  <c r="O9" i="47"/>
  <c r="Y120" i="34"/>
  <c r="E55" i="33" s="1"/>
  <c r="O12" i="47"/>
  <c r="B94" i="42"/>
  <c r="I18" i="47"/>
  <c r="I19" i="47"/>
  <c r="I20" i="47"/>
  <c r="I21" i="47"/>
  <c r="I22" i="47"/>
  <c r="I23" i="47"/>
  <c r="I24" i="47"/>
  <c r="I25" i="47"/>
  <c r="I26" i="47"/>
  <c r="I27" i="47"/>
  <c r="I28" i="47"/>
  <c r="I29" i="47"/>
  <c r="I30" i="47"/>
  <c r="I31" i="47"/>
  <c r="B94" i="34"/>
  <c r="X118" i="34"/>
  <c r="O11" i="47" s="1"/>
  <c r="U11" i="47" s="1"/>
  <c r="T15" i="34"/>
  <c r="N8" i="47"/>
  <c r="U112" i="34"/>
  <c r="U118" i="34" s="1"/>
  <c r="O8" i="47" s="1"/>
  <c r="U8" i="47" s="1"/>
  <c r="P18" i="34"/>
  <c r="W78" i="31"/>
  <c r="W80" i="31" s="1"/>
  <c r="AC78" i="31"/>
  <c r="AC80" i="31" s="1"/>
  <c r="AC114" i="31"/>
  <c r="AC100" i="31"/>
  <c r="AC64" i="31"/>
  <c r="AC87" i="31"/>
  <c r="P9" i="31"/>
  <c r="AB100" i="31"/>
  <c r="AB87" i="31"/>
  <c r="AB114" i="31"/>
  <c r="AB64" i="31"/>
  <c r="U85" i="31"/>
  <c r="U69" i="31"/>
  <c r="U98" i="31"/>
  <c r="AF68" i="31"/>
  <c r="U62" i="31"/>
  <c r="V85" i="31"/>
  <c r="V98" i="31"/>
  <c r="V62" i="31"/>
  <c r="V69" i="31"/>
  <c r="AA100" i="31"/>
  <c r="AA87" i="31"/>
  <c r="AA114" i="31"/>
  <c r="AA64" i="31"/>
  <c r="X78" i="31"/>
  <c r="X80" i="31" s="1"/>
  <c r="AF70" i="31"/>
  <c r="U87" i="31"/>
  <c r="U64" i="31"/>
  <c r="U114" i="31"/>
  <c r="U100" i="31"/>
  <c r="X98" i="31"/>
  <c r="X85" i="31"/>
  <c r="X69" i="31"/>
  <c r="X62" i="31"/>
  <c r="Y85" i="31"/>
  <c r="Y69" i="31"/>
  <c r="Y98" i="31"/>
  <c r="Y62" i="31"/>
  <c r="AA69" i="31"/>
  <c r="AA98" i="31"/>
  <c r="AA85" i="31"/>
  <c r="AA62" i="31"/>
  <c r="Z85" i="31"/>
  <c r="Z69" i="31"/>
  <c r="Z98" i="31"/>
  <c r="Z62" i="31"/>
  <c r="P7" i="31"/>
  <c r="P8" i="31" s="1"/>
  <c r="U78" i="31"/>
  <c r="U80" i="31" s="1"/>
  <c r="V114" i="31"/>
  <c r="V87" i="31"/>
  <c r="V64" i="31"/>
  <c r="V100" i="31"/>
  <c r="AD114" i="31"/>
  <c r="AD87" i="31"/>
  <c r="AD64" i="31"/>
  <c r="AD100" i="31"/>
  <c r="W100" i="31"/>
  <c r="W87" i="31"/>
  <c r="W114" i="31"/>
  <c r="W64" i="31"/>
  <c r="V78" i="31"/>
  <c r="V80" i="31" s="1"/>
  <c r="Z114" i="31"/>
  <c r="Z87" i="31"/>
  <c r="Z64" i="31"/>
  <c r="Z100" i="31"/>
  <c r="AB98" i="31"/>
  <c r="AB85" i="31"/>
  <c r="AB62" i="31"/>
  <c r="AB69" i="31"/>
  <c r="W69" i="31"/>
  <c r="W85" i="31"/>
  <c r="W98" i="31"/>
  <c r="AC85" i="31"/>
  <c r="AC69" i="31"/>
  <c r="AC62" i="31"/>
  <c r="AC98" i="31"/>
  <c r="X100" i="31"/>
  <c r="X114" i="31"/>
  <c r="X64" i="31"/>
  <c r="X87" i="31"/>
  <c r="Y64" i="31"/>
  <c r="Y87" i="31"/>
  <c r="Y114" i="31"/>
  <c r="Y100" i="31"/>
  <c r="AD85" i="31"/>
  <c r="AD69" i="31"/>
  <c r="AD62" i="31"/>
  <c r="AD98" i="31"/>
  <c r="J22" i="45" l="1"/>
  <c r="J18" i="45"/>
  <c r="F32" i="41"/>
  <c r="R31" i="41"/>
  <c r="F26" i="45"/>
  <c r="J21" i="45"/>
  <c r="J24" i="45"/>
  <c r="J20" i="45"/>
  <c r="L20" i="45"/>
  <c r="R19" i="45"/>
  <c r="AF120" i="50"/>
  <c r="J23" i="45"/>
  <c r="J19" i="45"/>
  <c r="L25" i="47"/>
  <c r="R24" i="47"/>
  <c r="F30" i="47"/>
  <c r="H27" i="45"/>
  <c r="S33" i="41"/>
  <c r="G34" i="41"/>
  <c r="H33" i="41"/>
  <c r="I33" i="41"/>
  <c r="U33" i="41" s="1"/>
  <c r="J32" i="41"/>
  <c r="T32" i="41"/>
  <c r="V32" i="41" s="1"/>
  <c r="M27" i="47"/>
  <c r="S27" i="47" s="1"/>
  <c r="H31" i="47"/>
  <c r="J31" i="47" s="1"/>
  <c r="G32" i="47"/>
  <c r="U120" i="34"/>
  <c r="E51" i="33" s="1"/>
  <c r="J26" i="45"/>
  <c r="P43" i="41"/>
  <c r="M45" i="41"/>
  <c r="N44" i="41"/>
  <c r="O44" i="41"/>
  <c r="J30" i="47"/>
  <c r="J26" i="47"/>
  <c r="J22" i="47"/>
  <c r="J18" i="47"/>
  <c r="P8" i="47"/>
  <c r="T8" i="47"/>
  <c r="V8" i="47" s="1"/>
  <c r="P9" i="47"/>
  <c r="U9" i="47"/>
  <c r="V9" i="47" s="1"/>
  <c r="M20" i="45"/>
  <c r="S20" i="45" s="1"/>
  <c r="U10" i="47"/>
  <c r="V10" i="47" s="1"/>
  <c r="P10" i="47"/>
  <c r="X120" i="34"/>
  <c r="E54" i="33" s="1"/>
  <c r="P15" i="47"/>
  <c r="U15" i="47"/>
  <c r="V15" i="47" s="1"/>
  <c r="J27" i="47"/>
  <c r="J23" i="47"/>
  <c r="J19" i="47"/>
  <c r="P13" i="47"/>
  <c r="U13" i="47"/>
  <c r="V13" i="47" s="1"/>
  <c r="G28" i="45"/>
  <c r="I27" i="45"/>
  <c r="V16" i="47"/>
  <c r="P16" i="47"/>
  <c r="V11" i="47"/>
  <c r="J29" i="47"/>
  <c r="J25" i="47"/>
  <c r="J21" i="47"/>
  <c r="V17" i="47"/>
  <c r="P17" i="47"/>
  <c r="B100" i="42"/>
  <c r="D100" i="42" s="1"/>
  <c r="H100" i="42" s="1"/>
  <c r="B95" i="42"/>
  <c r="D95" i="42" s="1"/>
  <c r="H95" i="42" s="1"/>
  <c r="B97" i="42"/>
  <c r="D97" i="42" s="1"/>
  <c r="H97" i="42" s="1"/>
  <c r="B99" i="42"/>
  <c r="D99" i="42" s="1"/>
  <c r="H99" i="42" s="1"/>
  <c r="B98" i="42"/>
  <c r="D98" i="42" s="1"/>
  <c r="H98" i="42" s="1"/>
  <c r="B96" i="42"/>
  <c r="D96" i="42" s="1"/>
  <c r="H96" i="42" s="1"/>
  <c r="D94" i="42"/>
  <c r="H94" i="42" s="1"/>
  <c r="U12" i="47"/>
  <c r="V12" i="47" s="1"/>
  <c r="P12" i="47"/>
  <c r="P11" i="47"/>
  <c r="U14" i="47"/>
  <c r="V14" i="47" s="1"/>
  <c r="P14" i="47"/>
  <c r="J28" i="47"/>
  <c r="J24" i="47"/>
  <c r="J20" i="47"/>
  <c r="B100" i="34"/>
  <c r="D100" i="34" s="1"/>
  <c r="B98" i="34"/>
  <c r="D98" i="34" s="1"/>
  <c r="B99" i="34"/>
  <c r="D99" i="34" s="1"/>
  <c r="B95" i="34"/>
  <c r="D95" i="34" s="1"/>
  <c r="B97" i="34"/>
  <c r="D97" i="34" s="1"/>
  <c r="B96" i="34"/>
  <c r="D96" i="34" s="1"/>
  <c r="D94" i="34"/>
  <c r="AB86" i="31"/>
  <c r="AB89" i="31" s="1"/>
  <c r="AB99" i="31"/>
  <c r="AB101" i="31" s="1"/>
  <c r="AB63" i="31"/>
  <c r="AB65" i="31" s="1"/>
  <c r="AB81" i="31" s="1"/>
  <c r="AB94" i="31" s="1"/>
  <c r="AB106" i="31" s="1"/>
  <c r="Z99" i="31"/>
  <c r="Z101" i="31" s="1"/>
  <c r="Z86" i="31"/>
  <c r="Z89" i="31" s="1"/>
  <c r="Z63" i="31"/>
  <c r="Z65" i="31" s="1"/>
  <c r="Z81" i="31" s="1"/>
  <c r="Z92" i="31" s="1"/>
  <c r="Y63" i="31"/>
  <c r="Y99" i="31"/>
  <c r="Y101" i="31" s="1"/>
  <c r="Y86" i="31"/>
  <c r="Y89" i="31" s="1"/>
  <c r="AF64" i="31"/>
  <c r="AF69" i="31"/>
  <c r="U63" i="31"/>
  <c r="U65" i="31" s="1"/>
  <c r="U81" i="31" s="1"/>
  <c r="U99" i="31"/>
  <c r="U101" i="31" s="1"/>
  <c r="U86" i="31"/>
  <c r="U89" i="31" s="1"/>
  <c r="W99" i="31"/>
  <c r="W101" i="31" s="1"/>
  <c r="W63" i="31"/>
  <c r="W65" i="31" s="1"/>
  <c r="W81" i="31" s="1"/>
  <c r="W94" i="31" s="1"/>
  <c r="W106" i="31" s="1"/>
  <c r="W86" i="31"/>
  <c r="W89" i="31" s="1"/>
  <c r="X86" i="31"/>
  <c r="X89" i="31" s="1"/>
  <c r="X63" i="31"/>
  <c r="X99" i="31"/>
  <c r="X101" i="31" s="1"/>
  <c r="AD99" i="31"/>
  <c r="AD101" i="31" s="1"/>
  <c r="AD86" i="31"/>
  <c r="AD89" i="31" s="1"/>
  <c r="AD63" i="31"/>
  <c r="AC63" i="31"/>
  <c r="AC99" i="31"/>
  <c r="AC101" i="31" s="1"/>
  <c r="AC86" i="31"/>
  <c r="AC89" i="31" s="1"/>
  <c r="T6" i="31"/>
  <c r="AA86" i="31"/>
  <c r="AA89" i="31" s="1"/>
  <c r="AA99" i="31"/>
  <c r="AA101" i="31" s="1"/>
  <c r="AA63" i="31"/>
  <c r="V99" i="31"/>
  <c r="V101" i="31" s="1"/>
  <c r="V86" i="31"/>
  <c r="V89" i="31" s="1"/>
  <c r="V63" i="31"/>
  <c r="AF62" i="31"/>
  <c r="L26" i="47" l="1"/>
  <c r="R25" i="47"/>
  <c r="F27" i="45"/>
  <c r="E61" i="33"/>
  <c r="E63" i="33" s="1"/>
  <c r="E65" i="33" s="1"/>
  <c r="F31" i="47"/>
  <c r="L21" i="45"/>
  <c r="R20" i="45"/>
  <c r="F33" i="41"/>
  <c r="R32" i="41"/>
  <c r="H28" i="45"/>
  <c r="J33" i="41"/>
  <c r="T33" i="41"/>
  <c r="V33" i="41" s="1"/>
  <c r="S34" i="41"/>
  <c r="G35" i="41"/>
  <c r="I34" i="41"/>
  <c r="U34" i="41" s="1"/>
  <c r="H34" i="41"/>
  <c r="H32" i="47"/>
  <c r="G33" i="47"/>
  <c r="I32" i="47"/>
  <c r="M28" i="47"/>
  <c r="S28" i="47" s="1"/>
  <c r="AF120" i="34"/>
  <c r="P23" i="34"/>
  <c r="P44" i="41"/>
  <c r="M46" i="41"/>
  <c r="O45" i="41"/>
  <c r="N45" i="41"/>
  <c r="G29" i="45"/>
  <c r="I28" i="45"/>
  <c r="M21" i="45"/>
  <c r="S21" i="45" s="1"/>
  <c r="J27" i="45"/>
  <c r="F29" i="34"/>
  <c r="F33" i="34" s="1"/>
  <c r="H33" i="34"/>
  <c r="D29" i="34"/>
  <c r="D33" i="34" s="1"/>
  <c r="AB92" i="31"/>
  <c r="AB104" i="31" s="1"/>
  <c r="Z104" i="31"/>
  <c r="U94" i="31"/>
  <c r="U106" i="31" s="1"/>
  <c r="U92" i="31"/>
  <c r="U104" i="31" s="1"/>
  <c r="U6" i="31"/>
  <c r="T7" i="31"/>
  <c r="W92" i="31"/>
  <c r="Z94" i="31"/>
  <c r="Z106" i="31" s="1"/>
  <c r="AF63" i="31"/>
  <c r="U93" i="31"/>
  <c r="U105" i="31" s="1"/>
  <c r="U113" i="31" s="1"/>
  <c r="Z93" i="31"/>
  <c r="Y65" i="31"/>
  <c r="Y81" i="31" s="1"/>
  <c r="Y93" i="31" s="1"/>
  <c r="Y105" i="31" s="1"/>
  <c r="Y113" i="31" s="1"/>
  <c r="V65" i="31"/>
  <c r="V81" i="31" s="1"/>
  <c r="X65" i="31"/>
  <c r="X81" i="31" s="1"/>
  <c r="AC65" i="31"/>
  <c r="AC81" i="31" s="1"/>
  <c r="AA65" i="31"/>
  <c r="AA81" i="31" s="1"/>
  <c r="W93" i="31"/>
  <c r="W105" i="31" s="1"/>
  <c r="W113" i="31" s="1"/>
  <c r="AB93" i="31"/>
  <c r="AB105" i="31" s="1"/>
  <c r="AB113" i="31" s="1"/>
  <c r="AD65" i="31"/>
  <c r="AD81" i="31" s="1"/>
  <c r="F34" i="41" l="1"/>
  <c r="R33" i="41"/>
  <c r="F32" i="47"/>
  <c r="F28" i="45"/>
  <c r="H38" i="34"/>
  <c r="H45" i="34"/>
  <c r="L22" i="45"/>
  <c r="R21" i="45"/>
  <c r="L27" i="47"/>
  <c r="R26" i="47"/>
  <c r="H29" i="45"/>
  <c r="S35" i="41"/>
  <c r="G36" i="41"/>
  <c r="H35" i="41"/>
  <c r="I35" i="41"/>
  <c r="U35" i="41" s="1"/>
  <c r="J34" i="41"/>
  <c r="T34" i="41"/>
  <c r="V34" i="41" s="1"/>
  <c r="H33" i="47"/>
  <c r="G34" i="47"/>
  <c r="I33" i="47"/>
  <c r="M29" i="47"/>
  <c r="S29" i="47" s="1"/>
  <c r="J32" i="47"/>
  <c r="P33" i="34"/>
  <c r="P29" i="34"/>
  <c r="P28" i="34" s="1"/>
  <c r="P21" i="34"/>
  <c r="AB112" i="31"/>
  <c r="AB109" i="31"/>
  <c r="N15" i="45" s="1"/>
  <c r="J28" i="45"/>
  <c r="P45" i="41"/>
  <c r="M47" i="41"/>
  <c r="O46" i="41"/>
  <c r="N46" i="41"/>
  <c r="M22" i="45"/>
  <c r="S22" i="45" s="1"/>
  <c r="G30" i="45"/>
  <c r="I29" i="45"/>
  <c r="D36" i="34"/>
  <c r="D42" i="34" s="1"/>
  <c r="F36" i="34"/>
  <c r="F42" i="34" s="1"/>
  <c r="F45" i="34" s="1"/>
  <c r="Z95" i="31"/>
  <c r="Z105" i="31"/>
  <c r="Z113" i="31" s="1"/>
  <c r="AB95" i="31"/>
  <c r="AB118" i="31"/>
  <c r="O15" i="45" s="1"/>
  <c r="U15" i="45" s="1"/>
  <c r="V94" i="31"/>
  <c r="V106" i="31" s="1"/>
  <c r="V92" i="31"/>
  <c r="W95" i="31"/>
  <c r="W104" i="31"/>
  <c r="W109" i="31" s="1"/>
  <c r="V93" i="31"/>
  <c r="V105" i="31" s="1"/>
  <c r="V113" i="31" s="1"/>
  <c r="T9" i="31"/>
  <c r="AD94" i="31"/>
  <c r="AD106" i="31" s="1"/>
  <c r="AD92" i="31"/>
  <c r="AA94" i="31"/>
  <c r="AA106" i="31" s="1"/>
  <c r="AA92" i="31"/>
  <c r="AC92" i="31"/>
  <c r="AC94" i="31"/>
  <c r="AC106" i="31" s="1"/>
  <c r="AC93" i="31"/>
  <c r="AC105" i="31" s="1"/>
  <c r="AC113" i="31" s="1"/>
  <c r="Z112" i="31"/>
  <c r="X94" i="31"/>
  <c r="X106" i="31" s="1"/>
  <c r="X92" i="31"/>
  <c r="U95" i="31"/>
  <c r="U109" i="31"/>
  <c r="AF65" i="31"/>
  <c r="X93" i="31"/>
  <c r="X105" i="31" s="1"/>
  <c r="X113" i="31" s="1"/>
  <c r="Y92" i="31"/>
  <c r="Y94" i="31"/>
  <c r="Y106" i="31" s="1"/>
  <c r="AD93" i="31"/>
  <c r="AD105" i="31" s="1"/>
  <c r="AD113" i="31" s="1"/>
  <c r="AA93" i="31"/>
  <c r="AA105" i="31" s="1"/>
  <c r="AA113" i="31" s="1"/>
  <c r="P42" i="34" l="1"/>
  <c r="P45" i="34"/>
  <c r="L23" i="45"/>
  <c r="R22" i="45"/>
  <c r="F29" i="45"/>
  <c r="F35" i="41"/>
  <c r="R34" i="41"/>
  <c r="L28" i="47"/>
  <c r="R27" i="47"/>
  <c r="D45" i="34"/>
  <c r="F33" i="47"/>
  <c r="J35" i="41"/>
  <c r="T35" i="41"/>
  <c r="V35" i="41" s="1"/>
  <c r="S36" i="41"/>
  <c r="G37" i="41"/>
  <c r="H36" i="41"/>
  <c r="I36" i="41"/>
  <c r="U36" i="41" s="1"/>
  <c r="M30" i="47"/>
  <c r="S30" i="47" s="1"/>
  <c r="H34" i="47"/>
  <c r="G35" i="47"/>
  <c r="I34" i="47"/>
  <c r="D38" i="34"/>
  <c r="J33" i="47"/>
  <c r="H30" i="45"/>
  <c r="F38" i="34"/>
  <c r="B71" i="47"/>
  <c r="N29" i="47" s="1"/>
  <c r="Z109" i="31"/>
  <c r="N13" i="45" s="1"/>
  <c r="J29" i="45"/>
  <c r="P46" i="41"/>
  <c r="M48" i="41"/>
  <c r="N47" i="41"/>
  <c r="O47" i="41"/>
  <c r="G31" i="45"/>
  <c r="I30" i="45"/>
  <c r="P15" i="45"/>
  <c r="T15" i="45"/>
  <c r="V15" i="45" s="1"/>
  <c r="M23" i="45"/>
  <c r="S23" i="45" s="1"/>
  <c r="D49" i="34"/>
  <c r="P36" i="34"/>
  <c r="P38" i="34" s="1"/>
  <c r="T11" i="31"/>
  <c r="T14" i="31" s="1"/>
  <c r="T13" i="31" s="1"/>
  <c r="T17" i="31" s="1"/>
  <c r="D22" i="31" s="1"/>
  <c r="D23" i="31" s="1"/>
  <c r="D29" i="31" s="1"/>
  <c r="Z118" i="31"/>
  <c r="O13" i="45" s="1"/>
  <c r="U13" i="45" s="1"/>
  <c r="AB120" i="31"/>
  <c r="E35" i="33" s="1"/>
  <c r="X95" i="31"/>
  <c r="X104" i="31"/>
  <c r="X109" i="31" s="1"/>
  <c r="N15" i="31"/>
  <c r="V95" i="31"/>
  <c r="V104" i="31"/>
  <c r="V109" i="31" s="1"/>
  <c r="Y95" i="31"/>
  <c r="Y104" i="31"/>
  <c r="Y109" i="31" s="1"/>
  <c r="U112" i="31"/>
  <c r="U118" i="31" s="1"/>
  <c r="O8" i="45" s="1"/>
  <c r="U8" i="45" s="1"/>
  <c r="N8" i="45"/>
  <c r="T8" i="45" s="1"/>
  <c r="AC95" i="31"/>
  <c r="AC104" i="31"/>
  <c r="AC109" i="31" s="1"/>
  <c r="W112" i="31"/>
  <c r="W118" i="31" s="1"/>
  <c r="O10" i="45" s="1"/>
  <c r="U10" i="45" s="1"/>
  <c r="N10" i="45"/>
  <c r="AA95" i="31"/>
  <c r="AA104" i="31"/>
  <c r="AA109" i="31" s="1"/>
  <c r="AD95" i="31"/>
  <c r="AD104" i="31"/>
  <c r="AD109" i="31" s="1"/>
  <c r="L29" i="47" l="1"/>
  <c r="R28" i="47"/>
  <c r="F34" i="47"/>
  <c r="F30" i="45"/>
  <c r="F36" i="41"/>
  <c r="R35" i="41"/>
  <c r="L24" i="45"/>
  <c r="R23" i="45"/>
  <c r="B72" i="47"/>
  <c r="H31" i="45"/>
  <c r="S37" i="41"/>
  <c r="G38" i="41"/>
  <c r="I37" i="41"/>
  <c r="U37" i="41" s="1"/>
  <c r="H37" i="41"/>
  <c r="J36" i="41"/>
  <c r="T36" i="41"/>
  <c r="V36" i="41" s="1"/>
  <c r="J34" i="47"/>
  <c r="N18" i="47"/>
  <c r="N19" i="47"/>
  <c r="T19" i="47" s="1"/>
  <c r="N20" i="47"/>
  <c r="T20" i="47" s="1"/>
  <c r="N21" i="47"/>
  <c r="T21" i="47" s="1"/>
  <c r="N22" i="47"/>
  <c r="T22" i="47" s="1"/>
  <c r="N23" i="47"/>
  <c r="T23" i="47" s="1"/>
  <c r="N24" i="47"/>
  <c r="N25" i="47"/>
  <c r="T25" i="47" s="1"/>
  <c r="N26" i="47"/>
  <c r="T26" i="47" s="1"/>
  <c r="N27" i="47"/>
  <c r="T27" i="47" s="1"/>
  <c r="N28" i="47"/>
  <c r="T28" i="47" s="1"/>
  <c r="N30" i="47"/>
  <c r="T30" i="47" s="1"/>
  <c r="M31" i="47"/>
  <c r="S31" i="47" s="1"/>
  <c r="H35" i="47"/>
  <c r="G36" i="47"/>
  <c r="I35" i="47"/>
  <c r="T18" i="47"/>
  <c r="T29" i="47"/>
  <c r="T24" i="47"/>
  <c r="U120" i="31"/>
  <c r="E28" i="33" s="1"/>
  <c r="J30" i="45"/>
  <c r="P47" i="41"/>
  <c r="M49" i="41"/>
  <c r="N48" i="41"/>
  <c r="O48" i="41"/>
  <c r="F94" i="34"/>
  <c r="N94" i="34" s="1"/>
  <c r="G32" i="45"/>
  <c r="I31" i="45"/>
  <c r="P13" i="45"/>
  <c r="T13" i="45"/>
  <c r="V13" i="45" s="1"/>
  <c r="P10" i="45"/>
  <c r="T10" i="45"/>
  <c r="V10" i="45" s="1"/>
  <c r="P8" i="45"/>
  <c r="V8" i="45"/>
  <c r="C71" i="47"/>
  <c r="M24" i="45"/>
  <c r="S24" i="45" s="1"/>
  <c r="N19" i="31"/>
  <c r="N29" i="31" s="1"/>
  <c r="N33" i="31" s="1"/>
  <c r="N45" i="31" s="1"/>
  <c r="P35" i="34"/>
  <c r="Z120" i="31"/>
  <c r="E33" i="33" s="1"/>
  <c r="W120" i="31"/>
  <c r="E30" i="33" s="1"/>
  <c r="P23" i="31"/>
  <c r="T15" i="31"/>
  <c r="AD112" i="31"/>
  <c r="AD118" i="31" s="1"/>
  <c r="O17" i="45" s="1"/>
  <c r="U17" i="45" s="1"/>
  <c r="N17" i="45"/>
  <c r="V112" i="31"/>
  <c r="V118" i="31" s="1"/>
  <c r="O9" i="45" s="1"/>
  <c r="U9" i="45" s="1"/>
  <c r="N9" i="45"/>
  <c r="N14" i="45"/>
  <c r="AA112" i="31"/>
  <c r="AA118" i="31" s="1"/>
  <c r="O14" i="45" s="1"/>
  <c r="U14" i="45" s="1"/>
  <c r="N16" i="45"/>
  <c r="T16" i="45" s="1"/>
  <c r="AC112" i="31"/>
  <c r="AC118" i="31" s="1"/>
  <c r="O16" i="45" s="1"/>
  <c r="Y112" i="31"/>
  <c r="Y118" i="31" s="1"/>
  <c r="O12" i="45" s="1"/>
  <c r="N12" i="45"/>
  <c r="T12" i="45" s="1"/>
  <c r="P15" i="31"/>
  <c r="N11" i="45"/>
  <c r="X112" i="31"/>
  <c r="X118" i="31" s="1"/>
  <c r="O11" i="45" s="1"/>
  <c r="U11" i="45" s="1"/>
  <c r="F37" i="41" l="1"/>
  <c r="R36" i="41"/>
  <c r="F35" i="47"/>
  <c r="L25" i="45"/>
  <c r="R24" i="45"/>
  <c r="F31" i="45"/>
  <c r="L30" i="47"/>
  <c r="R29" i="47"/>
  <c r="H32" i="45"/>
  <c r="J37" i="41"/>
  <c r="T37" i="41"/>
  <c r="V37" i="41" s="1"/>
  <c r="S38" i="41"/>
  <c r="H38" i="41"/>
  <c r="I38" i="41"/>
  <c r="U38" i="41" s="1"/>
  <c r="G39" i="41"/>
  <c r="H36" i="47"/>
  <c r="G37" i="47"/>
  <c r="I36" i="47"/>
  <c r="J35" i="47"/>
  <c r="N31" i="47"/>
  <c r="T31" i="47" s="1"/>
  <c r="M32" i="47"/>
  <c r="F100" i="34"/>
  <c r="N100" i="34" s="1"/>
  <c r="N38" i="31"/>
  <c r="F95" i="34"/>
  <c r="N95" i="34" s="1"/>
  <c r="F99" i="34"/>
  <c r="N99" i="34" s="1"/>
  <c r="F97" i="34"/>
  <c r="N97" i="34" s="1"/>
  <c r="F96" i="34"/>
  <c r="N96" i="34" s="1"/>
  <c r="F98" i="34"/>
  <c r="N98" i="34" s="1"/>
  <c r="J31" i="45"/>
  <c r="K31" i="45" s="1"/>
  <c r="H30" i="33" s="1"/>
  <c r="P48" i="41"/>
  <c r="M50" i="41"/>
  <c r="N49" i="41"/>
  <c r="O49" i="41"/>
  <c r="P9" i="45"/>
  <c r="T9" i="45"/>
  <c r="V9" i="45" s="1"/>
  <c r="P19" i="31"/>
  <c r="P18" i="31" s="1"/>
  <c r="G33" i="45"/>
  <c r="I32" i="45"/>
  <c r="P11" i="45"/>
  <c r="T11" i="45"/>
  <c r="V11" i="45" s="1"/>
  <c r="P12" i="45"/>
  <c r="U12" i="45"/>
  <c r="V12" i="45" s="1"/>
  <c r="P14" i="45"/>
  <c r="T14" i="45"/>
  <c r="V14" i="45" s="1"/>
  <c r="M25" i="45"/>
  <c r="S25" i="45" s="1"/>
  <c r="O18" i="47"/>
  <c r="O19" i="47"/>
  <c r="O20" i="47"/>
  <c r="O21" i="47"/>
  <c r="O22" i="47"/>
  <c r="O23" i="47"/>
  <c r="O24" i="47"/>
  <c r="O25" i="47"/>
  <c r="O26" i="47"/>
  <c r="O27" i="47"/>
  <c r="O28" i="47"/>
  <c r="O29" i="47"/>
  <c r="O30" i="47"/>
  <c r="O31" i="47"/>
  <c r="C72" i="47"/>
  <c r="P17" i="45"/>
  <c r="T17" i="45"/>
  <c r="V17" i="45" s="1"/>
  <c r="P16" i="45"/>
  <c r="U16" i="45"/>
  <c r="V16" i="45" s="1"/>
  <c r="Y120" i="31"/>
  <c r="E32" i="33" s="1"/>
  <c r="AD120" i="31"/>
  <c r="E37" i="33" s="1"/>
  <c r="AC120" i="31"/>
  <c r="E36" i="33" s="1"/>
  <c r="X120" i="31"/>
  <c r="E31" i="33" s="1"/>
  <c r="AA120" i="31"/>
  <c r="E34" i="33" s="1"/>
  <c r="V120" i="31"/>
  <c r="E29" i="33" s="1"/>
  <c r="E38" i="33" l="1"/>
  <c r="E40" i="33" s="1"/>
  <c r="E42" i="33" s="1"/>
  <c r="O32" i="47"/>
  <c r="U32" i="47" s="1"/>
  <c r="S32" i="47"/>
  <c r="F32" i="45"/>
  <c r="F36" i="47"/>
  <c r="F38" i="41"/>
  <c r="R37" i="41"/>
  <c r="L31" i="47"/>
  <c r="R30" i="47"/>
  <c r="L26" i="45"/>
  <c r="R25" i="45"/>
  <c r="H33" i="45"/>
  <c r="J38" i="41"/>
  <c r="T38" i="41"/>
  <c r="V38" i="41" s="1"/>
  <c r="S39" i="41"/>
  <c r="I39" i="41"/>
  <c r="U39" i="41" s="1"/>
  <c r="G40" i="41"/>
  <c r="H39" i="41"/>
  <c r="N32" i="47"/>
  <c r="T32" i="47" s="1"/>
  <c r="M33" i="47"/>
  <c r="S33" i="47" s="1"/>
  <c r="H37" i="47"/>
  <c r="G38" i="47"/>
  <c r="I37" i="47"/>
  <c r="J36" i="47"/>
  <c r="P22" i="47"/>
  <c r="U22" i="47"/>
  <c r="V22" i="47" s="1"/>
  <c r="P29" i="47"/>
  <c r="U29" i="47"/>
  <c r="V29" i="47" s="1"/>
  <c r="P25" i="47"/>
  <c r="U25" i="47"/>
  <c r="V25" i="47" s="1"/>
  <c r="P21" i="47"/>
  <c r="U21" i="47"/>
  <c r="V21" i="47" s="1"/>
  <c r="P28" i="47"/>
  <c r="U28" i="47"/>
  <c r="V28" i="47" s="1"/>
  <c r="P24" i="47"/>
  <c r="U24" i="47"/>
  <c r="V24" i="47" s="1"/>
  <c r="P20" i="47"/>
  <c r="U20" i="47"/>
  <c r="V20" i="47" s="1"/>
  <c r="P30" i="47"/>
  <c r="U30" i="47"/>
  <c r="V30" i="47" s="1"/>
  <c r="P26" i="47"/>
  <c r="U26" i="47"/>
  <c r="V26" i="47" s="1"/>
  <c r="P18" i="47"/>
  <c r="U18" i="47"/>
  <c r="V18" i="47" s="1"/>
  <c r="P31" i="47"/>
  <c r="U31" i="47"/>
  <c r="P27" i="47"/>
  <c r="U27" i="47"/>
  <c r="V27" i="47" s="1"/>
  <c r="P23" i="47"/>
  <c r="U23" i="47"/>
  <c r="V23" i="47" s="1"/>
  <c r="P19" i="47"/>
  <c r="U19" i="47"/>
  <c r="V19" i="47" s="1"/>
  <c r="AF120" i="31"/>
  <c r="J32" i="45"/>
  <c r="P49" i="41"/>
  <c r="M51" i="41"/>
  <c r="N50" i="41"/>
  <c r="O50" i="41"/>
  <c r="M26" i="45"/>
  <c r="S26" i="45" s="1"/>
  <c r="V31" i="47"/>
  <c r="G34" i="45"/>
  <c r="H34" i="45" s="1"/>
  <c r="I33" i="45"/>
  <c r="P29" i="31"/>
  <c r="D33" i="31"/>
  <c r="L27" i="45" l="1"/>
  <c r="R26" i="45"/>
  <c r="F39" i="41"/>
  <c r="R38" i="41"/>
  <c r="F33" i="45"/>
  <c r="K32" i="45"/>
  <c r="H29" i="33" s="1"/>
  <c r="H28" i="33"/>
  <c r="L32" i="47"/>
  <c r="R31" i="47"/>
  <c r="F37" i="47"/>
  <c r="J39" i="41"/>
  <c r="T39" i="41"/>
  <c r="V39" i="41" s="1"/>
  <c r="S40" i="41"/>
  <c r="G41" i="41"/>
  <c r="I40" i="41"/>
  <c r="U40" i="41" s="1"/>
  <c r="H40" i="41"/>
  <c r="V32" i="47"/>
  <c r="J37" i="47"/>
  <c r="P32" i="47"/>
  <c r="N33" i="47"/>
  <c r="M34" i="47"/>
  <c r="S34" i="47" s="1"/>
  <c r="O33" i="47"/>
  <c r="U33" i="47" s="1"/>
  <c r="P33" i="31"/>
  <c r="H38" i="47"/>
  <c r="G39" i="47"/>
  <c r="I38" i="47"/>
  <c r="M52" i="41"/>
  <c r="N51" i="41"/>
  <c r="O51" i="41"/>
  <c r="P50" i="41"/>
  <c r="G35" i="45"/>
  <c r="I34" i="45"/>
  <c r="M27" i="45"/>
  <c r="S27" i="45" s="1"/>
  <c r="J33" i="45"/>
  <c r="D36" i="31"/>
  <c r="P21" i="31"/>
  <c r="P36" i="31" l="1"/>
  <c r="D42" i="31"/>
  <c r="F38" i="47"/>
  <c r="F40" i="41"/>
  <c r="R39" i="41"/>
  <c r="L33" i="47"/>
  <c r="R32" i="47"/>
  <c r="F34" i="45"/>
  <c r="L28" i="45"/>
  <c r="R27" i="45"/>
  <c r="H35" i="45"/>
  <c r="S41" i="41"/>
  <c r="I41" i="41"/>
  <c r="U41" i="41" s="1"/>
  <c r="G42" i="41"/>
  <c r="H41" i="41"/>
  <c r="J40" i="41"/>
  <c r="T40" i="41"/>
  <c r="V40" i="41" s="1"/>
  <c r="H39" i="47"/>
  <c r="I39" i="47"/>
  <c r="G40" i="47"/>
  <c r="J38" i="47"/>
  <c r="P38" i="31"/>
  <c r="N34" i="47"/>
  <c r="M35" i="47"/>
  <c r="S35" i="47" s="1"/>
  <c r="O34" i="47"/>
  <c r="U34" i="47" s="1"/>
  <c r="D38" i="31"/>
  <c r="T33" i="47"/>
  <c r="V33" i="47" s="1"/>
  <c r="P33" i="47"/>
  <c r="J34" i="45"/>
  <c r="P51" i="41"/>
  <c r="M53" i="41"/>
  <c r="N52" i="41"/>
  <c r="O52" i="41"/>
  <c r="M28" i="45"/>
  <c r="S28" i="45" s="1"/>
  <c r="G36" i="45"/>
  <c r="I35" i="45"/>
  <c r="D49" i="31"/>
  <c r="P28" i="31"/>
  <c r="L29" i="45" l="1"/>
  <c r="R28" i="45"/>
  <c r="L34" i="47"/>
  <c r="R33" i="47"/>
  <c r="F41" i="41"/>
  <c r="R40" i="41"/>
  <c r="P42" i="31"/>
  <c r="P45" i="31" s="1"/>
  <c r="D45" i="31"/>
  <c r="F35" i="45"/>
  <c r="F39" i="47"/>
  <c r="H36" i="45"/>
  <c r="J41" i="41"/>
  <c r="T41" i="41"/>
  <c r="V41" i="41" s="1"/>
  <c r="S42" i="41"/>
  <c r="I42" i="41"/>
  <c r="U42" i="41" s="1"/>
  <c r="G43" i="41"/>
  <c r="H42" i="41"/>
  <c r="T34" i="47"/>
  <c r="V34" i="47" s="1"/>
  <c r="P34" i="47"/>
  <c r="H40" i="47"/>
  <c r="I40" i="47"/>
  <c r="G41" i="47"/>
  <c r="N35" i="47"/>
  <c r="M36" i="47"/>
  <c r="S36" i="47" s="1"/>
  <c r="O35" i="47"/>
  <c r="U35" i="47" s="1"/>
  <c r="J39" i="47"/>
  <c r="J35" i="45"/>
  <c r="P52" i="41"/>
  <c r="M54" i="41"/>
  <c r="O54" i="41" s="1"/>
  <c r="O53" i="41"/>
  <c r="N53" i="41"/>
  <c r="B71" i="45"/>
  <c r="N28" i="45" s="1"/>
  <c r="T28" i="45" s="1"/>
  <c r="G37" i="45"/>
  <c r="I36" i="45"/>
  <c r="M29" i="45"/>
  <c r="S29" i="45" s="1"/>
  <c r="C71" i="45"/>
  <c r="P35" i="31"/>
  <c r="F36" i="45" l="1"/>
  <c r="L35" i="47"/>
  <c r="R34" i="47"/>
  <c r="F40" i="47"/>
  <c r="F42" i="41"/>
  <c r="R41" i="41"/>
  <c r="L30" i="45"/>
  <c r="R29" i="45"/>
  <c r="H37" i="45"/>
  <c r="T42" i="41"/>
  <c r="V42" i="41" s="1"/>
  <c r="J42" i="41"/>
  <c r="S43" i="41"/>
  <c r="G44" i="41"/>
  <c r="H43" i="41"/>
  <c r="I43" i="41"/>
  <c r="U43" i="41" s="1"/>
  <c r="T35" i="47"/>
  <c r="V35" i="47" s="1"/>
  <c r="P35" i="47"/>
  <c r="J40" i="47"/>
  <c r="H41" i="47"/>
  <c r="I41" i="47"/>
  <c r="G42" i="47"/>
  <c r="N36" i="47"/>
  <c r="M37" i="47"/>
  <c r="S37" i="47" s="1"/>
  <c r="O36" i="47"/>
  <c r="U36" i="47" s="1"/>
  <c r="N29" i="45"/>
  <c r="T29" i="45" s="1"/>
  <c r="N18" i="45"/>
  <c r="T18" i="45" s="1"/>
  <c r="N19" i="45"/>
  <c r="T19" i="45" s="1"/>
  <c r="N20" i="45"/>
  <c r="T20" i="45" s="1"/>
  <c r="N21" i="45"/>
  <c r="T21" i="45" s="1"/>
  <c r="N22" i="45"/>
  <c r="T22" i="45" s="1"/>
  <c r="N23" i="45"/>
  <c r="T23" i="45" s="1"/>
  <c r="N24" i="45"/>
  <c r="T24" i="45" s="1"/>
  <c r="N25" i="45"/>
  <c r="T25" i="45" s="1"/>
  <c r="N26" i="45"/>
  <c r="T26" i="45" s="1"/>
  <c r="N27" i="45"/>
  <c r="T27" i="45" s="1"/>
  <c r="J36" i="45"/>
  <c r="P53" i="41"/>
  <c r="M55" i="41"/>
  <c r="N54" i="41"/>
  <c r="C72" i="45"/>
  <c r="O18" i="45"/>
  <c r="U18" i="45" s="1"/>
  <c r="O19" i="45"/>
  <c r="U19" i="45" s="1"/>
  <c r="O20" i="45"/>
  <c r="U20" i="45" s="1"/>
  <c r="O21" i="45"/>
  <c r="U21" i="45" s="1"/>
  <c r="O22" i="45"/>
  <c r="U22" i="45" s="1"/>
  <c r="O23" i="45"/>
  <c r="U23" i="45" s="1"/>
  <c r="O24" i="45"/>
  <c r="U24" i="45" s="1"/>
  <c r="O25" i="45"/>
  <c r="U25" i="45" s="1"/>
  <c r="O26" i="45"/>
  <c r="U26" i="45" s="1"/>
  <c r="O27" i="45"/>
  <c r="U27" i="45" s="1"/>
  <c r="O28" i="45"/>
  <c r="G38" i="45"/>
  <c r="I37" i="45"/>
  <c r="B72" i="45"/>
  <c r="M30" i="45"/>
  <c r="O29" i="45"/>
  <c r="U29" i="45" s="1"/>
  <c r="L36" i="47" l="1"/>
  <c r="R35" i="47"/>
  <c r="P28" i="45"/>
  <c r="U28" i="45"/>
  <c r="F43" i="41"/>
  <c r="R42" i="41"/>
  <c r="F37" i="45"/>
  <c r="L31" i="45"/>
  <c r="R30" i="45"/>
  <c r="F41" i="47"/>
  <c r="N30" i="45"/>
  <c r="T30" i="45" s="1"/>
  <c r="S30" i="45"/>
  <c r="H38" i="45"/>
  <c r="S44" i="41"/>
  <c r="G45" i="41"/>
  <c r="I44" i="41"/>
  <c r="U44" i="41" s="1"/>
  <c r="H44" i="41"/>
  <c r="J43" i="41"/>
  <c r="T43" i="41"/>
  <c r="V43" i="41" s="1"/>
  <c r="H42" i="47"/>
  <c r="G43" i="47"/>
  <c r="I42" i="47"/>
  <c r="N37" i="47"/>
  <c r="M38" i="47"/>
  <c r="S38" i="47" s="1"/>
  <c r="O37" i="47"/>
  <c r="U37" i="47" s="1"/>
  <c r="J41" i="47"/>
  <c r="P36" i="47"/>
  <c r="T36" i="47"/>
  <c r="V36" i="47" s="1"/>
  <c r="P26" i="45"/>
  <c r="P22" i="45"/>
  <c r="P18" i="45"/>
  <c r="P24" i="45"/>
  <c r="P20" i="45"/>
  <c r="P27" i="45"/>
  <c r="P23" i="45"/>
  <c r="P19" i="45"/>
  <c r="P54" i="41"/>
  <c r="M56" i="41"/>
  <c r="N55" i="41"/>
  <c r="O55" i="41"/>
  <c r="P25" i="45"/>
  <c r="P21" i="45"/>
  <c r="P29" i="45"/>
  <c r="J37" i="45"/>
  <c r="M31" i="45"/>
  <c r="O30" i="45"/>
  <c r="U30" i="45" s="1"/>
  <c r="V29" i="45"/>
  <c r="G39" i="45"/>
  <c r="I38" i="45"/>
  <c r="L32" i="45" l="1"/>
  <c r="R31" i="45"/>
  <c r="F44" i="41"/>
  <c r="R43" i="41"/>
  <c r="F42" i="47"/>
  <c r="F38" i="45"/>
  <c r="L37" i="47"/>
  <c r="R36" i="47"/>
  <c r="N31" i="45"/>
  <c r="T31" i="45" s="1"/>
  <c r="S31" i="45"/>
  <c r="H39" i="45"/>
  <c r="T44" i="41"/>
  <c r="V44" i="41" s="1"/>
  <c r="J44" i="41"/>
  <c r="S45" i="41"/>
  <c r="G46" i="41"/>
  <c r="H45" i="41"/>
  <c r="I45" i="41"/>
  <c r="U45" i="41" s="1"/>
  <c r="N38" i="47"/>
  <c r="M39" i="47"/>
  <c r="S39" i="47" s="1"/>
  <c r="O38" i="47"/>
  <c r="U38" i="47" s="1"/>
  <c r="P37" i="47"/>
  <c r="T37" i="47"/>
  <c r="V37" i="47" s="1"/>
  <c r="H43" i="47"/>
  <c r="I43" i="47"/>
  <c r="G44" i="47"/>
  <c r="J42" i="47"/>
  <c r="K42" i="47" s="1"/>
  <c r="H53" i="33" s="1"/>
  <c r="P30" i="45"/>
  <c r="V30" i="45"/>
  <c r="V21" i="45"/>
  <c r="V18" i="45"/>
  <c r="P55" i="41"/>
  <c r="M57" i="41"/>
  <c r="N56" i="41"/>
  <c r="O56" i="41"/>
  <c r="J38" i="45"/>
  <c r="M32" i="45"/>
  <c r="O31" i="45"/>
  <c r="U31" i="45" s="1"/>
  <c r="V28" i="45"/>
  <c r="V25" i="45"/>
  <c r="V24" i="45"/>
  <c r="V22" i="45"/>
  <c r="V26" i="45"/>
  <c r="V20" i="45"/>
  <c r="V19" i="45"/>
  <c r="G40" i="45"/>
  <c r="I39" i="45"/>
  <c r="V27" i="45"/>
  <c r="V23" i="45"/>
  <c r="L38" i="47" l="1"/>
  <c r="R37" i="47"/>
  <c r="F43" i="47"/>
  <c r="L33" i="45"/>
  <c r="R32" i="45"/>
  <c r="F39" i="45"/>
  <c r="F45" i="41"/>
  <c r="R44" i="41"/>
  <c r="N32" i="45"/>
  <c r="T32" i="45" s="1"/>
  <c r="S32" i="45"/>
  <c r="T45" i="41"/>
  <c r="V45" i="41" s="1"/>
  <c r="J45" i="41"/>
  <c r="S46" i="41"/>
  <c r="H46" i="41"/>
  <c r="G47" i="41"/>
  <c r="I46" i="41"/>
  <c r="U46" i="41" s="1"/>
  <c r="J43" i="47"/>
  <c r="N39" i="47"/>
  <c r="M40" i="47"/>
  <c r="S40" i="47" s="1"/>
  <c r="O39" i="47"/>
  <c r="U39" i="47" s="1"/>
  <c r="H44" i="47"/>
  <c r="G45" i="47"/>
  <c r="I44" i="47"/>
  <c r="P38" i="47"/>
  <c r="T38" i="47"/>
  <c r="V38" i="47" s="1"/>
  <c r="H40" i="45"/>
  <c r="I40" i="45"/>
  <c r="P31" i="45"/>
  <c r="P56" i="41"/>
  <c r="M58" i="41"/>
  <c r="O57" i="41"/>
  <c r="N57" i="41"/>
  <c r="J39" i="45"/>
  <c r="V31" i="45"/>
  <c r="M33" i="45"/>
  <c r="O32" i="45"/>
  <c r="U32" i="45" s="1"/>
  <c r="G41" i="45"/>
  <c r="F46" i="41" l="1"/>
  <c r="R45" i="41"/>
  <c r="F44" i="47"/>
  <c r="K43" i="47"/>
  <c r="H52" i="33" s="1"/>
  <c r="H51" i="33"/>
  <c r="L34" i="45"/>
  <c r="R33" i="45"/>
  <c r="F40" i="45"/>
  <c r="L39" i="47"/>
  <c r="R38" i="47"/>
  <c r="N33" i="45"/>
  <c r="T33" i="45" s="1"/>
  <c r="S33" i="45"/>
  <c r="H41" i="45"/>
  <c r="J46" i="41"/>
  <c r="T46" i="41"/>
  <c r="V46" i="41" s="1"/>
  <c r="S47" i="41"/>
  <c r="G48" i="41"/>
  <c r="H47" i="41"/>
  <c r="I47" i="41"/>
  <c r="U47" i="41" s="1"/>
  <c r="J44" i="47"/>
  <c r="P39" i="47"/>
  <c r="T39" i="47"/>
  <c r="V39" i="47" s="1"/>
  <c r="H45" i="47"/>
  <c r="I45" i="47"/>
  <c r="G46" i="47"/>
  <c r="N40" i="47"/>
  <c r="M41" i="47"/>
  <c r="S41" i="47" s="1"/>
  <c r="O40" i="47"/>
  <c r="U40" i="47" s="1"/>
  <c r="P32" i="45"/>
  <c r="V32" i="45"/>
  <c r="P57" i="41"/>
  <c r="M59" i="41"/>
  <c r="N58" i="41"/>
  <c r="O58" i="41"/>
  <c r="J40" i="45"/>
  <c r="M34" i="45"/>
  <c r="O34" i="45" s="1"/>
  <c r="U34" i="45" s="1"/>
  <c r="O33" i="45"/>
  <c r="U33" i="45" s="1"/>
  <c r="G42" i="45"/>
  <c r="I41" i="45"/>
  <c r="N7" i="7"/>
  <c r="N13" i="7"/>
  <c r="N6" i="7"/>
  <c r="V33" i="45" l="1"/>
  <c r="F45" i="47"/>
  <c r="F41" i="45"/>
  <c r="F47" i="41"/>
  <c r="R46" i="41"/>
  <c r="L40" i="47"/>
  <c r="R39" i="47"/>
  <c r="L35" i="45"/>
  <c r="R34" i="45"/>
  <c r="N34" i="45"/>
  <c r="T34" i="45" s="1"/>
  <c r="S34" i="45"/>
  <c r="H42" i="45"/>
  <c r="S48" i="41"/>
  <c r="G49" i="41"/>
  <c r="H48" i="41"/>
  <c r="I48" i="41"/>
  <c r="U48" i="41" s="1"/>
  <c r="T47" i="41"/>
  <c r="V47" i="41" s="1"/>
  <c r="J47" i="41"/>
  <c r="H46" i="47"/>
  <c r="I46" i="47"/>
  <c r="G47" i="47"/>
  <c r="N41" i="47"/>
  <c r="M42" i="47"/>
  <c r="S42" i="47" s="1"/>
  <c r="O41" i="47"/>
  <c r="U41" i="47" s="1"/>
  <c r="J45" i="47"/>
  <c r="P40" i="47"/>
  <c r="T40" i="47"/>
  <c r="V40" i="47" s="1"/>
  <c r="J41" i="45"/>
  <c r="P58" i="41"/>
  <c r="M60" i="41"/>
  <c r="N59" i="41"/>
  <c r="O59" i="41"/>
  <c r="G43" i="45"/>
  <c r="I42" i="45"/>
  <c r="P33" i="45"/>
  <c r="M35" i="45"/>
  <c r="L36" i="45" l="1"/>
  <c r="R35" i="45"/>
  <c r="F42" i="45"/>
  <c r="F48" i="41"/>
  <c r="R47" i="41"/>
  <c r="L41" i="47"/>
  <c r="R40" i="47"/>
  <c r="F46" i="47"/>
  <c r="N35" i="45"/>
  <c r="T35" i="45" s="1"/>
  <c r="S35" i="45"/>
  <c r="H43" i="45"/>
  <c r="T48" i="41"/>
  <c r="V48" i="41" s="1"/>
  <c r="J48" i="41"/>
  <c r="S49" i="41"/>
  <c r="G50" i="41"/>
  <c r="H49" i="41"/>
  <c r="I49" i="41"/>
  <c r="U49" i="41" s="1"/>
  <c r="H47" i="47"/>
  <c r="I47" i="47"/>
  <c r="G48" i="47"/>
  <c r="N42" i="47"/>
  <c r="M43" i="47"/>
  <c r="S43" i="47" s="1"/>
  <c r="O42" i="47"/>
  <c r="U42" i="47" s="1"/>
  <c r="J46" i="47"/>
  <c r="P41" i="47"/>
  <c r="T41" i="47"/>
  <c r="V41" i="47" s="1"/>
  <c r="J42" i="45"/>
  <c r="V34" i="45"/>
  <c r="P59" i="41"/>
  <c r="M61" i="41"/>
  <c r="N60" i="41"/>
  <c r="O60" i="41"/>
  <c r="M36" i="45"/>
  <c r="N36" i="45" s="1"/>
  <c r="O35" i="45"/>
  <c r="U35" i="45" s="1"/>
  <c r="P34" i="45"/>
  <c r="G44" i="45"/>
  <c r="I43" i="45"/>
  <c r="F47" i="47" l="1"/>
  <c r="F43" i="45"/>
  <c r="J43" i="45"/>
  <c r="L42" i="47"/>
  <c r="R41" i="47"/>
  <c r="F49" i="41"/>
  <c r="R48" i="41"/>
  <c r="L37" i="45"/>
  <c r="R36" i="45"/>
  <c r="T36" i="45"/>
  <c r="S36" i="45"/>
  <c r="H44" i="45"/>
  <c r="S50" i="41"/>
  <c r="G51" i="41"/>
  <c r="H50" i="41"/>
  <c r="I50" i="41"/>
  <c r="U50" i="41" s="1"/>
  <c r="T49" i="41"/>
  <c r="V49" i="41" s="1"/>
  <c r="J49" i="41"/>
  <c r="H48" i="47"/>
  <c r="G49" i="47"/>
  <c r="I48" i="47"/>
  <c r="N43" i="47"/>
  <c r="O43" i="47"/>
  <c r="U43" i="47" s="1"/>
  <c r="M44" i="47"/>
  <c r="S44" i="47" s="1"/>
  <c r="P42" i="47"/>
  <c r="T42" i="47"/>
  <c r="V42" i="47" s="1"/>
  <c r="J47" i="47"/>
  <c r="P35" i="45"/>
  <c r="P60" i="41"/>
  <c r="M62" i="41"/>
  <c r="O61" i="41"/>
  <c r="N61" i="41"/>
  <c r="V35" i="45"/>
  <c r="G45" i="45"/>
  <c r="I44" i="45"/>
  <c r="M37" i="45"/>
  <c r="O36" i="45"/>
  <c r="U36" i="45" s="1"/>
  <c r="J44" i="45" l="1"/>
  <c r="L38" i="45"/>
  <c r="R37" i="45"/>
  <c r="L43" i="47"/>
  <c r="R42" i="47"/>
  <c r="F44" i="45"/>
  <c r="F50" i="41"/>
  <c r="R49" i="41"/>
  <c r="F48" i="47"/>
  <c r="N37" i="45"/>
  <c r="T37" i="45" s="1"/>
  <c r="S37" i="45"/>
  <c r="H45" i="45"/>
  <c r="T50" i="41"/>
  <c r="V50" i="41" s="1"/>
  <c r="J50" i="41"/>
  <c r="S51" i="41"/>
  <c r="H51" i="41"/>
  <c r="I51" i="41"/>
  <c r="U51" i="41" s="1"/>
  <c r="G52" i="41"/>
  <c r="N44" i="47"/>
  <c r="O44" i="47"/>
  <c r="U44" i="47" s="1"/>
  <c r="M45" i="47"/>
  <c r="S45" i="47" s="1"/>
  <c r="H49" i="47"/>
  <c r="I49" i="47"/>
  <c r="G50" i="47"/>
  <c r="J48" i="47"/>
  <c r="P43" i="47"/>
  <c r="T43" i="47"/>
  <c r="V43" i="47" s="1"/>
  <c r="P36" i="45"/>
  <c r="P61" i="41"/>
  <c r="M63" i="41"/>
  <c r="N62" i="41"/>
  <c r="O62" i="41"/>
  <c r="M38" i="45"/>
  <c r="O37" i="45"/>
  <c r="U37" i="45" s="1"/>
  <c r="V36" i="45"/>
  <c r="G46" i="45"/>
  <c r="I45" i="45"/>
  <c r="F49" i="47" l="1"/>
  <c r="F45" i="45"/>
  <c r="L39" i="45"/>
  <c r="R38" i="45"/>
  <c r="J45" i="45"/>
  <c r="F51" i="41"/>
  <c r="R50" i="41"/>
  <c r="L44" i="47"/>
  <c r="R43" i="47"/>
  <c r="N38" i="45"/>
  <c r="T38" i="45" s="1"/>
  <c r="S38" i="45"/>
  <c r="V37" i="45"/>
  <c r="W37" i="45" s="1"/>
  <c r="J30" i="33" s="1"/>
  <c r="I73" i="33" s="1"/>
  <c r="H46" i="45"/>
  <c r="J51" i="41"/>
  <c r="T51" i="41"/>
  <c r="V51" i="41" s="1"/>
  <c r="S52" i="41"/>
  <c r="I52" i="41"/>
  <c r="U52" i="41" s="1"/>
  <c r="H52" i="41"/>
  <c r="G53" i="41"/>
  <c r="H50" i="47"/>
  <c r="I50" i="47"/>
  <c r="G51" i="47"/>
  <c r="P44" i="47"/>
  <c r="T44" i="47"/>
  <c r="V44" i="47" s="1"/>
  <c r="N45" i="47"/>
  <c r="O45" i="47"/>
  <c r="U45" i="47" s="1"/>
  <c r="M46" i="47"/>
  <c r="S46" i="47" s="1"/>
  <c r="J49" i="47"/>
  <c r="P62" i="41"/>
  <c r="M64" i="41"/>
  <c r="N63" i="41"/>
  <c r="O63" i="41"/>
  <c r="G47" i="45"/>
  <c r="I46" i="45"/>
  <c r="P37" i="45"/>
  <c r="M39" i="45"/>
  <c r="O38" i="45"/>
  <c r="U38" i="45" s="1"/>
  <c r="L45" i="47" l="1"/>
  <c r="R44" i="47"/>
  <c r="F46" i="45"/>
  <c r="W38" i="45"/>
  <c r="J29" i="33" s="1"/>
  <c r="I74" i="33" s="1"/>
  <c r="I75" i="33" s="1"/>
  <c r="J28" i="33"/>
  <c r="I71" i="33" s="1"/>
  <c r="J46" i="45"/>
  <c r="F52" i="41"/>
  <c r="R51" i="41"/>
  <c r="L40" i="45"/>
  <c r="R39" i="45"/>
  <c r="F50" i="47"/>
  <c r="N39" i="45"/>
  <c r="T39" i="45" s="1"/>
  <c r="S39" i="45"/>
  <c r="H47" i="45"/>
  <c r="S53" i="41"/>
  <c r="H53" i="41"/>
  <c r="I53" i="41"/>
  <c r="U53" i="41" s="1"/>
  <c r="G54" i="41"/>
  <c r="T52" i="41"/>
  <c r="V52" i="41" s="1"/>
  <c r="J52" i="41"/>
  <c r="N46" i="47"/>
  <c r="M47" i="47"/>
  <c r="S47" i="47" s="1"/>
  <c r="O46" i="47"/>
  <c r="U46" i="47" s="1"/>
  <c r="J50" i="47"/>
  <c r="P45" i="47"/>
  <c r="T45" i="47"/>
  <c r="V45" i="47" s="1"/>
  <c r="H51" i="47"/>
  <c r="G52" i="47"/>
  <c r="I51" i="47"/>
  <c r="P63" i="41"/>
  <c r="V38" i="45"/>
  <c r="P38" i="45"/>
  <c r="M65" i="41"/>
  <c r="N64" i="41"/>
  <c r="O64" i="41"/>
  <c r="M40" i="45"/>
  <c r="O39" i="45"/>
  <c r="U39" i="45" s="1"/>
  <c r="G48" i="45"/>
  <c r="I47" i="45"/>
  <c r="L41" i="45" l="1"/>
  <c r="R40" i="45"/>
  <c r="F47" i="45"/>
  <c r="J47" i="45"/>
  <c r="F51" i="47"/>
  <c r="F53" i="41"/>
  <c r="R52" i="41"/>
  <c r="L46" i="47"/>
  <c r="R45" i="47"/>
  <c r="N40" i="45"/>
  <c r="T40" i="45" s="1"/>
  <c r="S40" i="45"/>
  <c r="H48" i="45"/>
  <c r="I54" i="41"/>
  <c r="U54" i="41" s="1"/>
  <c r="S54" i="41"/>
  <c r="G55" i="41"/>
  <c r="H54" i="41"/>
  <c r="T53" i="41"/>
  <c r="V53" i="41" s="1"/>
  <c r="J53" i="41"/>
  <c r="H52" i="47"/>
  <c r="I52" i="47"/>
  <c r="G53" i="47"/>
  <c r="N47" i="47"/>
  <c r="O47" i="47"/>
  <c r="U47" i="47" s="1"/>
  <c r="M48" i="47"/>
  <c r="S48" i="47" s="1"/>
  <c r="J51" i="47"/>
  <c r="P46" i="47"/>
  <c r="T46" i="47"/>
  <c r="V46" i="47" s="1"/>
  <c r="P64" i="41"/>
  <c r="M66" i="41"/>
  <c r="N65" i="41"/>
  <c r="O65" i="41"/>
  <c r="G49" i="45"/>
  <c r="I48" i="45"/>
  <c r="P39" i="45"/>
  <c r="V39" i="45"/>
  <c r="M41" i="45"/>
  <c r="O40" i="45"/>
  <c r="U40" i="45" s="1"/>
  <c r="L47" i="47" l="1"/>
  <c r="R46" i="47"/>
  <c r="F52" i="47"/>
  <c r="F48" i="45"/>
  <c r="F54" i="41"/>
  <c r="R53" i="41"/>
  <c r="L42" i="45"/>
  <c r="R41" i="45"/>
  <c r="J48" i="45"/>
  <c r="N41" i="45"/>
  <c r="T41" i="45" s="1"/>
  <c r="S41" i="45"/>
  <c r="H49" i="45"/>
  <c r="J54" i="41"/>
  <c r="T54" i="41"/>
  <c r="V54" i="41" s="1"/>
  <c r="S55" i="41"/>
  <c r="G56" i="41"/>
  <c r="I55" i="41"/>
  <c r="U55" i="41" s="1"/>
  <c r="H55" i="41"/>
  <c r="H53" i="47"/>
  <c r="I53" i="47"/>
  <c r="G54" i="47"/>
  <c r="N48" i="47"/>
  <c r="M49" i="47"/>
  <c r="S49" i="47" s="1"/>
  <c r="O48" i="47"/>
  <c r="U48" i="47" s="1"/>
  <c r="J52" i="47"/>
  <c r="P47" i="47"/>
  <c r="T47" i="47"/>
  <c r="V47" i="47" s="1"/>
  <c r="P40" i="45"/>
  <c r="V40" i="45"/>
  <c r="P65" i="41"/>
  <c r="M67" i="41"/>
  <c r="O66" i="41"/>
  <c r="N66" i="41"/>
  <c r="M42" i="45"/>
  <c r="O41" i="45"/>
  <c r="U41" i="45" s="1"/>
  <c r="G50" i="45"/>
  <c r="I49" i="45"/>
  <c r="J49" i="45" l="1"/>
  <c r="F55" i="41"/>
  <c r="R54" i="41"/>
  <c r="F53" i="47"/>
  <c r="L43" i="45"/>
  <c r="R42" i="45"/>
  <c r="F49" i="45"/>
  <c r="L48" i="47"/>
  <c r="R47" i="47"/>
  <c r="N42" i="45"/>
  <c r="T42" i="45" s="1"/>
  <c r="S42" i="45"/>
  <c r="H50" i="45"/>
  <c r="S56" i="41"/>
  <c r="G57" i="41"/>
  <c r="I56" i="41"/>
  <c r="U56" i="41" s="1"/>
  <c r="H56" i="41"/>
  <c r="T55" i="41"/>
  <c r="V55" i="41" s="1"/>
  <c r="J55" i="41"/>
  <c r="P48" i="47"/>
  <c r="T48" i="47"/>
  <c r="V48" i="47" s="1"/>
  <c r="H54" i="47"/>
  <c r="I54" i="47"/>
  <c r="G55" i="47"/>
  <c r="N49" i="47"/>
  <c r="O49" i="47"/>
  <c r="U49" i="47" s="1"/>
  <c r="M50" i="47"/>
  <c r="S50" i="47" s="1"/>
  <c r="J53" i="47"/>
  <c r="N67" i="41"/>
  <c r="O67" i="41"/>
  <c r="P66" i="41"/>
  <c r="V41" i="45"/>
  <c r="P41" i="45"/>
  <c r="M43" i="45"/>
  <c r="O42" i="45"/>
  <c r="U42" i="45" s="1"/>
  <c r="G51" i="45"/>
  <c r="I50" i="45"/>
  <c r="J50" i="45" l="1"/>
  <c r="L49" i="47"/>
  <c r="R48" i="47"/>
  <c r="L44" i="45"/>
  <c r="R43" i="45"/>
  <c r="F56" i="41"/>
  <c r="R55" i="41"/>
  <c r="F50" i="45"/>
  <c r="F54" i="47"/>
  <c r="S43" i="45"/>
  <c r="H51" i="45"/>
  <c r="S57" i="41"/>
  <c r="H57" i="41"/>
  <c r="I57" i="41"/>
  <c r="U57" i="41" s="1"/>
  <c r="G58" i="41"/>
  <c r="T56" i="41"/>
  <c r="V56" i="41" s="1"/>
  <c r="J56" i="41"/>
  <c r="P49" i="47"/>
  <c r="T49" i="47"/>
  <c r="V49" i="47" s="1"/>
  <c r="J54" i="47"/>
  <c r="H55" i="47"/>
  <c r="G56" i="47"/>
  <c r="I55" i="47"/>
  <c r="N43" i="45"/>
  <c r="T43" i="45" s="1"/>
  <c r="N50" i="47"/>
  <c r="M51" i="47"/>
  <c r="S51" i="47" s="1"/>
  <c r="O50" i="47"/>
  <c r="U50" i="47" s="1"/>
  <c r="V42" i="45"/>
  <c r="P67" i="41"/>
  <c r="G52" i="45"/>
  <c r="I51" i="45"/>
  <c r="P42" i="45"/>
  <c r="M44" i="45"/>
  <c r="O43" i="45"/>
  <c r="U43" i="45" s="1"/>
  <c r="F55" i="47" l="1"/>
  <c r="F57" i="41"/>
  <c r="R56" i="41"/>
  <c r="L50" i="47"/>
  <c r="R49" i="47"/>
  <c r="F51" i="45"/>
  <c r="L45" i="45"/>
  <c r="Q44" i="45"/>
  <c r="I29" i="33" s="1"/>
  <c r="I28" i="33"/>
  <c r="R44" i="45"/>
  <c r="J51" i="45"/>
  <c r="N44" i="45"/>
  <c r="T44" i="45" s="1"/>
  <c r="S44" i="45"/>
  <c r="H52" i="45"/>
  <c r="S58" i="41"/>
  <c r="G59" i="41"/>
  <c r="H58" i="41"/>
  <c r="I58" i="41"/>
  <c r="U58" i="41" s="1"/>
  <c r="J57" i="41"/>
  <c r="T57" i="41"/>
  <c r="V57" i="41" s="1"/>
  <c r="N51" i="47"/>
  <c r="O51" i="47"/>
  <c r="U51" i="47" s="1"/>
  <c r="M52" i="47"/>
  <c r="S52" i="47" s="1"/>
  <c r="H56" i="47"/>
  <c r="I56" i="47"/>
  <c r="G57" i="47"/>
  <c r="P50" i="47"/>
  <c r="T50" i="47"/>
  <c r="V50" i="47" s="1"/>
  <c r="J55" i="47"/>
  <c r="V43" i="45"/>
  <c r="P43" i="45"/>
  <c r="Q43" i="45" s="1"/>
  <c r="I30" i="33" s="1"/>
  <c r="M45" i="45"/>
  <c r="O44" i="45"/>
  <c r="U44" i="45" s="1"/>
  <c r="G53" i="45"/>
  <c r="I52" i="45"/>
  <c r="F52" i="45" l="1"/>
  <c r="J52" i="45"/>
  <c r="F58" i="41"/>
  <c r="R57" i="41"/>
  <c r="L46" i="45"/>
  <c r="R45" i="45"/>
  <c r="L51" i="47"/>
  <c r="R50" i="47"/>
  <c r="F56" i="47"/>
  <c r="N45" i="45"/>
  <c r="T45" i="45" s="1"/>
  <c r="S45" i="45"/>
  <c r="H53" i="45"/>
  <c r="T58" i="41"/>
  <c r="V58" i="41" s="1"/>
  <c r="J58" i="41"/>
  <c r="S59" i="41"/>
  <c r="H59" i="41"/>
  <c r="G60" i="41"/>
  <c r="I59" i="41"/>
  <c r="U59" i="41" s="1"/>
  <c r="H57" i="47"/>
  <c r="I57" i="47"/>
  <c r="G58" i="47"/>
  <c r="N52" i="47"/>
  <c r="M53" i="47"/>
  <c r="S53" i="47" s="1"/>
  <c r="O52" i="47"/>
  <c r="U52" i="47" s="1"/>
  <c r="J56" i="47"/>
  <c r="P51" i="47"/>
  <c r="T51" i="47"/>
  <c r="V51" i="47" s="1"/>
  <c r="M46" i="45"/>
  <c r="O45" i="45"/>
  <c r="U45" i="45" s="1"/>
  <c r="G54" i="45"/>
  <c r="I53" i="45"/>
  <c r="P44" i="45"/>
  <c r="V44" i="45"/>
  <c r="J53" i="45" l="1"/>
  <c r="F57" i="47"/>
  <c r="L47" i="45"/>
  <c r="R46" i="45"/>
  <c r="L52" i="47"/>
  <c r="R51" i="47"/>
  <c r="F59" i="41"/>
  <c r="R58" i="41"/>
  <c r="F53" i="45"/>
  <c r="N46" i="45"/>
  <c r="T46" i="45" s="1"/>
  <c r="S46" i="45"/>
  <c r="H54" i="45"/>
  <c r="J59" i="41"/>
  <c r="T59" i="41"/>
  <c r="V59" i="41" s="1"/>
  <c r="S60" i="41"/>
  <c r="I60" i="41"/>
  <c r="U60" i="41" s="1"/>
  <c r="H60" i="41"/>
  <c r="G61" i="41"/>
  <c r="H58" i="47"/>
  <c r="I58" i="47"/>
  <c r="G59" i="47"/>
  <c r="P52" i="47"/>
  <c r="T52" i="47"/>
  <c r="V52" i="47" s="1"/>
  <c r="N53" i="47"/>
  <c r="M54" i="47"/>
  <c r="S54" i="47" s="1"/>
  <c r="O53" i="47"/>
  <c r="U53" i="47" s="1"/>
  <c r="J57" i="47"/>
  <c r="P45" i="45"/>
  <c r="V45" i="45"/>
  <c r="M47" i="45"/>
  <c r="O46" i="45"/>
  <c r="G55" i="45"/>
  <c r="I54" i="45"/>
  <c r="J54" i="45" l="1"/>
  <c r="F54" i="45"/>
  <c r="L53" i="47"/>
  <c r="R52" i="47"/>
  <c r="F58" i="47"/>
  <c r="P46" i="45"/>
  <c r="U46" i="45"/>
  <c r="F60" i="41"/>
  <c r="R59" i="41"/>
  <c r="L48" i="45"/>
  <c r="R47" i="45"/>
  <c r="N47" i="45"/>
  <c r="T47" i="45" s="1"/>
  <c r="S47" i="45"/>
  <c r="S61" i="41"/>
  <c r="G62" i="41"/>
  <c r="H61" i="41"/>
  <c r="I61" i="41"/>
  <c r="U61" i="41" s="1"/>
  <c r="T60" i="41"/>
  <c r="V60" i="41" s="1"/>
  <c r="J60" i="41"/>
  <c r="N54" i="47"/>
  <c r="M55" i="47"/>
  <c r="S55" i="47" s="1"/>
  <c r="O54" i="47"/>
  <c r="U54" i="47" s="1"/>
  <c r="P53" i="47"/>
  <c r="T53" i="47"/>
  <c r="V53" i="47" s="1"/>
  <c r="H59" i="47"/>
  <c r="G60" i="47"/>
  <c r="I59" i="47"/>
  <c r="J58" i="47"/>
  <c r="H55" i="45"/>
  <c r="G56" i="45"/>
  <c r="V46" i="45"/>
  <c r="M48" i="45"/>
  <c r="O47" i="45"/>
  <c r="U47" i="45" s="1"/>
  <c r="I55" i="45"/>
  <c r="F61" i="41" l="1"/>
  <c r="R60" i="41"/>
  <c r="F59" i="47"/>
  <c r="F55" i="45"/>
  <c r="L49" i="45"/>
  <c r="R48" i="45"/>
  <c r="L54" i="47"/>
  <c r="R53" i="47"/>
  <c r="N48" i="45"/>
  <c r="T48" i="45" s="1"/>
  <c r="S48" i="45"/>
  <c r="H56" i="45"/>
  <c r="S62" i="41"/>
  <c r="G63" i="41"/>
  <c r="H62" i="41"/>
  <c r="I62" i="41"/>
  <c r="U62" i="41" s="1"/>
  <c r="J61" i="41"/>
  <c r="T61" i="41"/>
  <c r="V61" i="41" s="1"/>
  <c r="J55" i="45"/>
  <c r="H60" i="47"/>
  <c r="G61" i="47"/>
  <c r="I60" i="47"/>
  <c r="J59" i="47"/>
  <c r="N55" i="47"/>
  <c r="M56" i="47"/>
  <c r="S56" i="47" s="1"/>
  <c r="O55" i="47"/>
  <c r="U55" i="47" s="1"/>
  <c r="P54" i="47"/>
  <c r="T54" i="47"/>
  <c r="V54" i="47" s="1"/>
  <c r="G57" i="45"/>
  <c r="I56" i="45"/>
  <c r="P47" i="45"/>
  <c r="V47" i="45"/>
  <c r="M49" i="45"/>
  <c r="O48" i="45"/>
  <c r="U48" i="45" s="1"/>
  <c r="L50" i="45" l="1"/>
  <c r="R49" i="45"/>
  <c r="F60" i="47"/>
  <c r="L55" i="47"/>
  <c r="R54" i="47"/>
  <c r="J56" i="45"/>
  <c r="F56" i="45"/>
  <c r="F62" i="41"/>
  <c r="R61" i="41"/>
  <c r="N49" i="45"/>
  <c r="T49" i="45" s="1"/>
  <c r="S49" i="45"/>
  <c r="H57" i="45"/>
  <c r="T62" i="41"/>
  <c r="V62" i="41" s="1"/>
  <c r="J62" i="41"/>
  <c r="S63" i="41"/>
  <c r="H63" i="41"/>
  <c r="I63" i="41"/>
  <c r="U63" i="41" s="1"/>
  <c r="G64" i="41"/>
  <c r="P55" i="47"/>
  <c r="T55" i="47"/>
  <c r="V55" i="47" s="1"/>
  <c r="H61" i="47"/>
  <c r="I61" i="47"/>
  <c r="G62" i="47"/>
  <c r="N56" i="47"/>
  <c r="O56" i="47"/>
  <c r="U56" i="47" s="1"/>
  <c r="M57" i="47"/>
  <c r="S57" i="47" s="1"/>
  <c r="J60" i="47"/>
  <c r="V48" i="45"/>
  <c r="M50" i="45"/>
  <c r="O49" i="45"/>
  <c r="G58" i="45"/>
  <c r="I57" i="45"/>
  <c r="P48" i="45"/>
  <c r="J57" i="45" l="1"/>
  <c r="L51" i="45"/>
  <c r="R50" i="45"/>
  <c r="F63" i="41"/>
  <c r="R62" i="41"/>
  <c r="F61" i="47"/>
  <c r="P49" i="45"/>
  <c r="U49" i="45"/>
  <c r="V49" i="45" s="1"/>
  <c r="F57" i="45"/>
  <c r="L56" i="47"/>
  <c r="R55" i="47"/>
  <c r="N50" i="45"/>
  <c r="T50" i="45" s="1"/>
  <c r="S50" i="45"/>
  <c r="H58" i="45"/>
  <c r="J63" i="41"/>
  <c r="T63" i="41"/>
  <c r="V63" i="41" s="1"/>
  <c r="S64" i="41"/>
  <c r="G65" i="41"/>
  <c r="I64" i="41"/>
  <c r="U64" i="41" s="1"/>
  <c r="H64" i="41"/>
  <c r="J61" i="47"/>
  <c r="P56" i="47"/>
  <c r="T56" i="47"/>
  <c r="V56" i="47" s="1"/>
  <c r="H62" i="47"/>
  <c r="I62" i="47"/>
  <c r="G63" i="47"/>
  <c r="N57" i="47"/>
  <c r="O57" i="47"/>
  <c r="U57" i="47" s="1"/>
  <c r="M58" i="47"/>
  <c r="S58" i="47" s="1"/>
  <c r="M51" i="45"/>
  <c r="O50" i="45"/>
  <c r="G59" i="45"/>
  <c r="I58" i="45"/>
  <c r="P50" i="45" l="1"/>
  <c r="U50" i="45"/>
  <c r="V50" i="45" s="1"/>
  <c r="F58" i="45"/>
  <c r="F62" i="47"/>
  <c r="J58" i="45"/>
  <c r="L52" i="45"/>
  <c r="R51" i="45"/>
  <c r="L57" i="47"/>
  <c r="R56" i="47"/>
  <c r="F64" i="41"/>
  <c r="R63" i="41"/>
  <c r="N51" i="45"/>
  <c r="T51" i="45" s="1"/>
  <c r="S51" i="45"/>
  <c r="H59" i="45"/>
  <c r="S65" i="41"/>
  <c r="G66" i="41"/>
  <c r="I65" i="41"/>
  <c r="U65" i="41" s="1"/>
  <c r="H65" i="41"/>
  <c r="T64" i="41"/>
  <c r="V64" i="41" s="1"/>
  <c r="J64" i="41"/>
  <c r="P57" i="47"/>
  <c r="T57" i="47"/>
  <c r="V57" i="47" s="1"/>
  <c r="H63" i="47"/>
  <c r="I63" i="47"/>
  <c r="G64" i="47"/>
  <c r="N58" i="47"/>
  <c r="O58" i="47"/>
  <c r="U58" i="47" s="1"/>
  <c r="M59" i="47"/>
  <c r="S59" i="47" s="1"/>
  <c r="J62" i="47"/>
  <c r="M52" i="45"/>
  <c r="O51" i="45"/>
  <c r="G60" i="45"/>
  <c r="I59" i="45"/>
  <c r="L58" i="47" l="1"/>
  <c r="R57" i="47"/>
  <c r="F59" i="45"/>
  <c r="J59" i="45"/>
  <c r="P51" i="45"/>
  <c r="U51" i="45"/>
  <c r="V51" i="45" s="1"/>
  <c r="F65" i="41"/>
  <c r="R64" i="41"/>
  <c r="L53" i="45"/>
  <c r="R52" i="45"/>
  <c r="F63" i="47"/>
  <c r="N52" i="45"/>
  <c r="T52" i="45" s="1"/>
  <c r="S52" i="45"/>
  <c r="H60" i="45"/>
  <c r="T65" i="41"/>
  <c r="V65" i="41" s="1"/>
  <c r="J65" i="41"/>
  <c r="S66" i="41"/>
  <c r="I66" i="41"/>
  <c r="U66" i="41" s="1"/>
  <c r="H66" i="41"/>
  <c r="G67" i="41"/>
  <c r="N59" i="47"/>
  <c r="O59" i="47"/>
  <c r="U59" i="47" s="1"/>
  <c r="M60" i="47"/>
  <c r="S60" i="47" s="1"/>
  <c r="J63" i="47"/>
  <c r="P58" i="47"/>
  <c r="T58" i="47"/>
  <c r="V58" i="47" s="1"/>
  <c r="H64" i="47"/>
  <c r="G65" i="47"/>
  <c r="I64" i="47"/>
  <c r="M53" i="45"/>
  <c r="O52" i="45"/>
  <c r="G61" i="45"/>
  <c r="I60" i="45"/>
  <c r="L54" i="45" l="1"/>
  <c r="R53" i="45"/>
  <c r="F60" i="45"/>
  <c r="P52" i="45"/>
  <c r="U52" i="45"/>
  <c r="J60" i="45"/>
  <c r="F64" i="47"/>
  <c r="F66" i="41"/>
  <c r="R65" i="41"/>
  <c r="L59" i="47"/>
  <c r="R58" i="47"/>
  <c r="N53" i="45"/>
  <c r="S53" i="45"/>
  <c r="H61" i="45"/>
  <c r="H67" i="41"/>
  <c r="S67" i="41"/>
  <c r="I67" i="41"/>
  <c r="U67" i="41" s="1"/>
  <c r="J66" i="41"/>
  <c r="T66" i="41"/>
  <c r="V66" i="41" s="1"/>
  <c r="T53" i="45"/>
  <c r="V52" i="45"/>
  <c r="N60" i="47"/>
  <c r="M61" i="47"/>
  <c r="S61" i="47" s="1"/>
  <c r="O60" i="47"/>
  <c r="U60" i="47" s="1"/>
  <c r="H65" i="47"/>
  <c r="G66" i="47"/>
  <c r="I65" i="47"/>
  <c r="J64" i="47"/>
  <c r="P59" i="47"/>
  <c r="T59" i="47"/>
  <c r="V59" i="47" s="1"/>
  <c r="M54" i="45"/>
  <c r="O53" i="45"/>
  <c r="G62" i="45"/>
  <c r="I61" i="45"/>
  <c r="F65" i="47" l="1"/>
  <c r="L55" i="45"/>
  <c r="R54" i="45"/>
  <c r="J61" i="45"/>
  <c r="F67" i="41"/>
  <c r="R67" i="41" s="1"/>
  <c r="R66" i="41"/>
  <c r="F61" i="45"/>
  <c r="P53" i="45"/>
  <c r="U53" i="45"/>
  <c r="V53" i="45" s="1"/>
  <c r="L60" i="47"/>
  <c r="R59" i="47"/>
  <c r="N54" i="45"/>
  <c r="T54" i="45" s="1"/>
  <c r="S54" i="45"/>
  <c r="H62" i="45"/>
  <c r="T67" i="41"/>
  <c r="V67" i="41" s="1"/>
  <c r="V68" i="41" s="1"/>
  <c r="J67" i="41"/>
  <c r="J68" i="41" s="1"/>
  <c r="H66" i="47"/>
  <c r="G67" i="47"/>
  <c r="I66" i="47"/>
  <c r="N61" i="47"/>
  <c r="O61" i="47"/>
  <c r="U61" i="47" s="1"/>
  <c r="M62" i="47"/>
  <c r="S62" i="47" s="1"/>
  <c r="J65" i="47"/>
  <c r="P60" i="47"/>
  <c r="T60" i="47"/>
  <c r="V60" i="47" s="1"/>
  <c r="M55" i="45"/>
  <c r="O54" i="45"/>
  <c r="G63" i="45"/>
  <c r="I62" i="45"/>
  <c r="J62" i="45" l="1"/>
  <c r="L56" i="45"/>
  <c r="R55" i="45"/>
  <c r="L61" i="47"/>
  <c r="R60" i="47"/>
  <c r="F62" i="45"/>
  <c r="P54" i="45"/>
  <c r="U54" i="45"/>
  <c r="V54" i="45" s="1"/>
  <c r="F66" i="47"/>
  <c r="N55" i="45"/>
  <c r="T55" i="45" s="1"/>
  <c r="S55" i="45"/>
  <c r="H63" i="45"/>
  <c r="N62" i="47"/>
  <c r="O62" i="47"/>
  <c r="U62" i="47" s="1"/>
  <c r="M63" i="47"/>
  <c r="S63" i="47" s="1"/>
  <c r="H67" i="47"/>
  <c r="I67" i="47"/>
  <c r="J66" i="47"/>
  <c r="P61" i="47"/>
  <c r="T61" i="47"/>
  <c r="V61" i="47" s="1"/>
  <c r="M56" i="45"/>
  <c r="O55" i="45"/>
  <c r="G64" i="45"/>
  <c r="I63" i="45"/>
  <c r="F67" i="47" l="1"/>
  <c r="P55" i="45"/>
  <c r="U55" i="45"/>
  <c r="V55" i="45" s="1"/>
  <c r="F63" i="45"/>
  <c r="L57" i="45"/>
  <c r="R56" i="45"/>
  <c r="J63" i="45"/>
  <c r="L62" i="47"/>
  <c r="R61" i="47"/>
  <c r="N56" i="45"/>
  <c r="T56" i="45" s="1"/>
  <c r="S56" i="45"/>
  <c r="H64" i="45"/>
  <c r="J67" i="47"/>
  <c r="N63" i="47"/>
  <c r="O63" i="47"/>
  <c r="U63" i="47" s="1"/>
  <c r="M64" i="47"/>
  <c r="S64" i="47" s="1"/>
  <c r="P62" i="47"/>
  <c r="T62" i="47"/>
  <c r="V62" i="47" s="1"/>
  <c r="W62" i="47" s="1"/>
  <c r="J53" i="33" s="1"/>
  <c r="J73" i="33" s="1"/>
  <c r="G65" i="45"/>
  <c r="I64" i="45"/>
  <c r="M57" i="45"/>
  <c r="O56" i="45"/>
  <c r="P56" i="45" l="1"/>
  <c r="U56" i="45"/>
  <c r="V56" i="45" s="1"/>
  <c r="F64" i="45"/>
  <c r="J64" i="45"/>
  <c r="L63" i="47"/>
  <c r="R62" i="47"/>
  <c r="L58" i="45"/>
  <c r="R57" i="45"/>
  <c r="N57" i="45"/>
  <c r="T57" i="45" s="1"/>
  <c r="S57" i="45"/>
  <c r="H65" i="45"/>
  <c r="P63" i="47"/>
  <c r="T63" i="47"/>
  <c r="V63" i="47" s="1"/>
  <c r="N64" i="47"/>
  <c r="O64" i="47"/>
  <c r="U64" i="47" s="1"/>
  <c r="M65" i="47"/>
  <c r="S65" i="47" s="1"/>
  <c r="M58" i="45"/>
  <c r="O57" i="45"/>
  <c r="G66" i="45"/>
  <c r="I65" i="45"/>
  <c r="L64" i="47" l="1"/>
  <c r="R63" i="47"/>
  <c r="P57" i="45"/>
  <c r="U57" i="45"/>
  <c r="V57" i="45" s="1"/>
  <c r="F65" i="45"/>
  <c r="L59" i="45"/>
  <c r="R58" i="45"/>
  <c r="J65" i="45"/>
  <c r="N58" i="45"/>
  <c r="T58" i="45" s="1"/>
  <c r="S58" i="45"/>
  <c r="H66" i="45"/>
  <c r="P64" i="47"/>
  <c r="T64" i="47"/>
  <c r="V64" i="47" s="1"/>
  <c r="N65" i="47"/>
  <c r="M66" i="47"/>
  <c r="S66" i="47" s="1"/>
  <c r="O65" i="47"/>
  <c r="U65" i="47" s="1"/>
  <c r="M59" i="45"/>
  <c r="O58" i="45"/>
  <c r="G67" i="45"/>
  <c r="I66" i="45"/>
  <c r="F66" i="45" l="1"/>
  <c r="L65" i="47"/>
  <c r="R64" i="47"/>
  <c r="J66" i="45"/>
  <c r="L60" i="45"/>
  <c r="R59" i="45"/>
  <c r="P58" i="45"/>
  <c r="U58" i="45"/>
  <c r="V58" i="45" s="1"/>
  <c r="J51" i="33"/>
  <c r="J71" i="33" s="1"/>
  <c r="W63" i="47"/>
  <c r="J52" i="33" s="1"/>
  <c r="J74" i="33" s="1"/>
  <c r="J75" i="33" s="1"/>
  <c r="N59" i="45"/>
  <c r="T59" i="45" s="1"/>
  <c r="S59" i="45"/>
  <c r="H67" i="45"/>
  <c r="O66" i="47"/>
  <c r="U66" i="47" s="1"/>
  <c r="N66" i="47"/>
  <c r="M67" i="47"/>
  <c r="S67" i="47" s="1"/>
  <c r="P65" i="47"/>
  <c r="T65" i="47"/>
  <c r="V65" i="47" s="1"/>
  <c r="I67" i="45"/>
  <c r="M60" i="45"/>
  <c r="S60" i="45" s="1"/>
  <c r="O59" i="45"/>
  <c r="P59" i="45" l="1"/>
  <c r="U59" i="45"/>
  <c r="V59" i="45" s="1"/>
  <c r="F67" i="45"/>
  <c r="J67" i="45"/>
  <c r="L66" i="47"/>
  <c r="R65" i="47"/>
  <c r="L61" i="45"/>
  <c r="R60" i="45"/>
  <c r="N60" i="45"/>
  <c r="N67" i="47"/>
  <c r="O67" i="47"/>
  <c r="U67" i="47" s="1"/>
  <c r="P66" i="47"/>
  <c r="T66" i="47"/>
  <c r="V66" i="47" s="1"/>
  <c r="M61" i="45"/>
  <c r="O60" i="45"/>
  <c r="U60" i="45" s="1"/>
  <c r="L62" i="45" l="1"/>
  <c r="R61" i="45"/>
  <c r="L67" i="47"/>
  <c r="R67" i="47" s="1"/>
  <c r="R66" i="47"/>
  <c r="N61" i="45"/>
  <c r="S61" i="45"/>
  <c r="T61" i="45"/>
  <c r="T60" i="45"/>
  <c r="V60" i="45" s="1"/>
  <c r="P60" i="45"/>
  <c r="P67" i="47"/>
  <c r="T67" i="47"/>
  <c r="V67" i="47" s="1"/>
  <c r="M62" i="45"/>
  <c r="O61" i="45"/>
  <c r="L63" i="45" l="1"/>
  <c r="R62" i="45"/>
  <c r="P61" i="45"/>
  <c r="U61" i="45"/>
  <c r="V61" i="45" s="1"/>
  <c r="N62" i="45"/>
  <c r="T62" i="45" s="1"/>
  <c r="S62" i="45"/>
  <c r="M63" i="45"/>
  <c r="O62" i="45"/>
  <c r="P62" i="45" l="1"/>
  <c r="U62" i="45"/>
  <c r="V62" i="45" s="1"/>
  <c r="L64" i="45"/>
  <c r="R63" i="45"/>
  <c r="N63" i="45"/>
  <c r="S63" i="45"/>
  <c r="T63" i="45"/>
  <c r="M64" i="45"/>
  <c r="O63" i="45"/>
  <c r="L65" i="45" l="1"/>
  <c r="R64" i="45"/>
  <c r="P63" i="45"/>
  <c r="U63" i="45"/>
  <c r="V63" i="45" s="1"/>
  <c r="N64" i="45"/>
  <c r="T64" i="45" s="1"/>
  <c r="S64" i="45"/>
  <c r="M65" i="45"/>
  <c r="O64" i="45"/>
  <c r="P64" i="45" l="1"/>
  <c r="U64" i="45"/>
  <c r="V64" i="45" s="1"/>
  <c r="L66" i="45"/>
  <c r="R65" i="45"/>
  <c r="N65" i="45"/>
  <c r="S65" i="45"/>
  <c r="T65" i="45"/>
  <c r="M66" i="45"/>
  <c r="O65" i="45"/>
  <c r="L67" i="45" l="1"/>
  <c r="R67" i="45" s="1"/>
  <c r="R66" i="45"/>
  <c r="P65" i="45"/>
  <c r="U65" i="45"/>
  <c r="V65" i="45" s="1"/>
  <c r="N66" i="45"/>
  <c r="S66" i="45"/>
  <c r="T66" i="45"/>
  <c r="M67" i="45"/>
  <c r="O66" i="45"/>
  <c r="P66" i="45" l="1"/>
  <c r="U66" i="45"/>
  <c r="V66" i="45" s="1"/>
  <c r="N67" i="45"/>
  <c r="T67" i="45" s="1"/>
  <c r="S67" i="45"/>
  <c r="O67" i="45"/>
  <c r="P67" i="45" l="1"/>
  <c r="U67" i="45"/>
  <c r="V67" i="45"/>
</calcChain>
</file>

<file path=xl/sharedStrings.xml><?xml version="1.0" encoding="utf-8"?>
<sst xmlns="http://schemas.openxmlformats.org/spreadsheetml/2006/main" count="1335" uniqueCount="262">
  <si>
    <t xml:space="preserve">Income Statement </t>
  </si>
  <si>
    <t xml:space="preserve">Balance Sheet </t>
  </si>
  <si>
    <t xml:space="preserve">Assets </t>
  </si>
  <si>
    <t xml:space="preserve">Total </t>
  </si>
  <si>
    <t xml:space="preserve"> </t>
  </si>
  <si>
    <t>Other Services</t>
  </si>
  <si>
    <t xml:space="preserve">Capital </t>
  </si>
  <si>
    <t xml:space="preserve">Total Cost </t>
  </si>
  <si>
    <t xml:space="preserve">Real Estate (1 location) </t>
  </si>
  <si>
    <t xml:space="preserve">Regulatory Filing </t>
  </si>
  <si>
    <t xml:space="preserve">Yield </t>
  </si>
  <si>
    <t>Cost of Funds %</t>
  </si>
  <si>
    <t xml:space="preserve">Cost of Funds  </t>
  </si>
  <si>
    <t>Provision for Losses %</t>
  </si>
  <si>
    <t xml:space="preserve">Net Interest Income After Losses </t>
  </si>
  <si>
    <t xml:space="preserve">Provision for Losses  </t>
  </si>
  <si>
    <t xml:space="preserve">Operating Expenses  </t>
  </si>
  <si>
    <t xml:space="preserve">Real Estate </t>
  </si>
  <si>
    <t xml:space="preserve">Average Loan Size </t>
  </si>
  <si>
    <t xml:space="preserve"># of Loans </t>
  </si>
  <si>
    <t xml:space="preserve">Net Loans </t>
  </si>
  <si>
    <t xml:space="preserve">Total Assets </t>
  </si>
  <si>
    <t xml:space="preserve">Total Liabilities &amp; Equity </t>
  </si>
  <si>
    <t xml:space="preserve">Interest Income </t>
  </si>
  <si>
    <t xml:space="preserve">Provision for Losses </t>
  </si>
  <si>
    <t>Expenses</t>
  </si>
  <si>
    <t>Capital</t>
  </si>
  <si>
    <t xml:space="preserve">New Resource Bank </t>
  </si>
  <si>
    <t xml:space="preserve">Total Loans </t>
  </si>
  <si>
    <t>Profit</t>
  </si>
  <si>
    <t xml:space="preserve">Direct Contribution Margin </t>
  </si>
  <si>
    <t xml:space="preserve">Staff (20+ employees) </t>
  </si>
  <si>
    <t xml:space="preserve">Tech Development   </t>
  </si>
  <si>
    <t xml:space="preserve">Salaries </t>
  </si>
  <si>
    <t># of Employees</t>
  </si>
  <si>
    <t xml:space="preserve">Bank of SF </t>
  </si>
  <si>
    <t xml:space="preserve">BND </t>
  </si>
  <si>
    <t>Per Employee</t>
  </si>
  <si>
    <t>Salaries ($'000)</t>
  </si>
  <si>
    <t>Tech Maintenance</t>
  </si>
  <si>
    <t xml:space="preserve">HQ Expenses </t>
  </si>
  <si>
    <t>HQ</t>
  </si>
  <si>
    <t xml:space="preserve">Total Annual Fixed Cost 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</si>
  <si>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</si>
  <si>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</si>
  <si>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</si>
  <si>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</si>
  <si>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</si>
  <si>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</si>
  <si>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</si>
  <si>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</si>
  <si>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</si>
  <si>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</si>
  <si>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 xml:space="preserve">SMB Lending - Direct </t>
  </si>
  <si>
    <t xml:space="preserve">Why loan growth is important </t>
  </si>
  <si>
    <t>https://blogs.cfainstitute.org/investor/2013/07/23/why-loan-growth-is-important-and-what-it-says-about-inflation-and-interest-rates/</t>
  </si>
  <si>
    <t xml:space="preserve">Operating Expenses % of Revenues </t>
  </si>
  <si>
    <t xml:space="preserve">Round up $3.8MM to $4 x 1.5 years </t>
  </si>
  <si>
    <t xml:space="preserve">Expenses </t>
  </si>
  <si>
    <t>Small Business  - Wholesale</t>
  </si>
  <si>
    <t xml:space="preserve">Capital to Cover Net Losses </t>
  </si>
  <si>
    <t xml:space="preserve">  </t>
  </si>
  <si>
    <t xml:space="preserve">Capital for Balance Sheet </t>
  </si>
  <si>
    <t xml:space="preserve">Staff (20+ HQ employees) </t>
  </si>
  <si>
    <t>https://fred.stlouisfed.org/series/USLLRTL</t>
  </si>
  <si>
    <t>http://www.equitybrother.com/2018/05/10/synchrony-financials-loan-loss-provision-analysis/</t>
  </si>
  <si>
    <t xml:space="preserve">  Loan Loss Reserve </t>
  </si>
  <si>
    <t xml:space="preserve">       As % of Total Loans </t>
  </si>
  <si>
    <t xml:space="preserve">  Loan Loss Reserves </t>
  </si>
  <si>
    <t xml:space="preserve">Deposits &amp; Debt </t>
  </si>
  <si>
    <t xml:space="preserve">Cash &amp; Securities </t>
  </si>
  <si>
    <t xml:space="preserve">of Gross Loans </t>
  </si>
  <si>
    <t xml:space="preserve">of Net Loans </t>
  </si>
  <si>
    <t xml:space="preserve">of Assets </t>
  </si>
  <si>
    <t xml:space="preserve">Deposit &amp; Debt as % of Total Loans </t>
  </si>
  <si>
    <t xml:space="preserve">Other Assumptions </t>
  </si>
  <si>
    <t xml:space="preserve">Cost of Funds for Deposits </t>
  </si>
  <si>
    <t xml:space="preserve">Investment Yield </t>
  </si>
  <si>
    <t xml:space="preserve">Loan Loss Reserve Rate </t>
  </si>
  <si>
    <t xml:space="preserve">  1.2% - Fed </t>
  </si>
  <si>
    <t xml:space="preserve">2017 Call Report </t>
  </si>
  <si>
    <t xml:space="preserve">  1.7% - BND </t>
  </si>
  <si>
    <t xml:space="preserve">  1.5% - BSF and NRB in SF </t>
  </si>
  <si>
    <t xml:space="preserve">  7% - Synchony </t>
  </si>
  <si>
    <t xml:space="preserve">Deposit Rates from SF Credit Union:  https://www.sffirecu.org/about-us/rates-and-fees/current-rates/savings-rates </t>
  </si>
  <si>
    <t xml:space="preserve">90 day T-Bill, BND </t>
  </si>
  <si>
    <t xml:space="preserve">Total Net Loans </t>
  </si>
  <si>
    <t xml:space="preserve">Small Business - Direct </t>
  </si>
  <si>
    <t xml:space="preserve">Small Business - Wholesale </t>
  </si>
  <si>
    <t xml:space="preserve">Gross Loans </t>
  </si>
  <si>
    <t xml:space="preserve"> Real Estate Loans </t>
  </si>
  <si>
    <t>Year 0</t>
  </si>
  <si>
    <t xml:space="preserve">Total Yield </t>
  </si>
  <si>
    <t xml:space="preserve">Cost of Funds </t>
  </si>
  <si>
    <t xml:space="preserve">Total Cost of Funds </t>
  </si>
  <si>
    <t xml:space="preserve">Total Provision for Losses </t>
  </si>
  <si>
    <t>NII</t>
  </si>
  <si>
    <t>Total NII</t>
  </si>
  <si>
    <t>Startup</t>
  </si>
  <si>
    <t xml:space="preserve">Real Estate Loans </t>
  </si>
  <si>
    <t>Total</t>
  </si>
  <si>
    <t xml:space="preserve">  Capital </t>
  </si>
  <si>
    <t xml:space="preserve">Deposit &amp; Debt </t>
  </si>
  <si>
    <t xml:space="preserve">25% ppt loans </t>
  </si>
  <si>
    <t xml:space="preserve">Cash &amp; Investments </t>
  </si>
  <si>
    <t xml:space="preserve">Cash Management </t>
  </si>
  <si>
    <t>Cash Management Startup Cost</t>
  </si>
  <si>
    <t xml:space="preserve">Total Assets Per Year 
($ million) </t>
  </si>
  <si>
    <t xml:space="preserve">100% 90 day T-Bill, BND </t>
  </si>
  <si>
    <t xml:space="preserve">Participation Lending </t>
  </si>
  <si>
    <t xml:space="preserve">Participation Lendin </t>
  </si>
  <si>
    <t>Guaranteed loan purchase program, 4.10%, BND (https://bnd.nd.gov/rates/)</t>
  </si>
  <si>
    <t xml:space="preserve">   Tech Maintenance </t>
  </si>
  <si>
    <t xml:space="preserve">Cash &amp; Treasury Transaction Volume </t>
  </si>
  <si>
    <t>Guaranteed loan purchase program, 4.1%, BND (https://bnd.nd.gov/rates/)</t>
  </si>
  <si>
    <t xml:space="preserve"> Participation Lending </t>
  </si>
  <si>
    <t xml:space="preserve">   Team </t>
  </si>
  <si>
    <t xml:space="preserve">15 staff per service (5x15=75)  + 3 director level </t>
  </si>
  <si>
    <t xml:space="preserve">$300K for staff, $500K for director </t>
  </si>
  <si>
    <t xml:space="preserve">  Customer Service </t>
  </si>
  <si>
    <t xml:space="preserve">Total ($ million) </t>
  </si>
  <si>
    <t xml:space="preserve">Year 6 </t>
  </si>
  <si>
    <t xml:space="preserve">Balance Sheet Size </t>
  </si>
  <si>
    <t xml:space="preserve">HQ </t>
  </si>
  <si>
    <t xml:space="preserve">Value of  Net Outstanding Loans Per Year 
($ million) </t>
  </si>
  <si>
    <t xml:space="preserve">Net Contribution </t>
  </si>
  <si>
    <t xml:space="preserve">Net Profit </t>
  </si>
  <si>
    <t xml:space="preserve">Net Surplus (Deficit) Per Year - Low Range 
($ million) </t>
  </si>
  <si>
    <t xml:space="preserve">Net Surplus (Deficit) Per Year - High Range 
($ million) </t>
  </si>
  <si>
    <t xml:space="preserve">$15 million each x 5 services </t>
  </si>
  <si>
    <t xml:space="preserve">20% of Start up Cost </t>
  </si>
  <si>
    <t xml:space="preserve">Lending </t>
  </si>
  <si>
    <t xml:space="preserve">Revenues </t>
  </si>
  <si>
    <t>Cash Mgmt</t>
  </si>
  <si>
    <t xml:space="preserve">V Exp </t>
  </si>
  <si>
    <t xml:space="preserve">Low Range </t>
  </si>
  <si>
    <t xml:space="preserve">High Range </t>
  </si>
  <si>
    <t xml:space="preserve">Average </t>
  </si>
  <si>
    <t xml:space="preserve">Variable Exp as % of Net Loans </t>
  </si>
  <si>
    <t>Net Loan Level</t>
  </si>
  <si>
    <t xml:space="preserve">Year </t>
  </si>
  <si>
    <t>Start-Up Years</t>
  </si>
  <si>
    <t xml:space="preserve">Start up cost </t>
  </si>
  <si>
    <t xml:space="preserve">Annual HQ cost </t>
  </si>
  <si>
    <t>Surplus/Deficit</t>
  </si>
  <si>
    <t>$1B AVERAGE</t>
  </si>
  <si>
    <t>$1B LOW</t>
  </si>
  <si>
    <t>$1B HIGH</t>
  </si>
  <si>
    <t xml:space="preserve">Summary Tables for Up to $1B in Assets </t>
  </si>
  <si>
    <t xml:space="preserve">Growth Rate </t>
  </si>
  <si>
    <t xml:space="preserve">$1-7B Balance Sheet Projections </t>
  </si>
  <si>
    <t xml:space="preserve">"Reinvest" Non-Bank Model </t>
  </si>
  <si>
    <t>Detailed Balance Sheet Estimate - at $1B</t>
  </si>
  <si>
    <t>Cost of Funds for Debt</t>
  </si>
  <si>
    <t xml:space="preserve">Instructions on how to use this financial model:  </t>
  </si>
  <si>
    <t xml:space="preserve">1) </t>
  </si>
  <si>
    <t xml:space="preserve">a) </t>
  </si>
  <si>
    <t xml:space="preserve">Instructions </t>
  </si>
  <si>
    <t xml:space="preserve">b) </t>
  </si>
  <si>
    <t xml:space="preserve">Summary Tables </t>
  </si>
  <si>
    <t xml:space="preserve">c) </t>
  </si>
  <si>
    <t xml:space="preserve">d) </t>
  </si>
  <si>
    <t xml:space="preserve">2) </t>
  </si>
  <si>
    <t xml:space="preserve">How the model is organized?  </t>
  </si>
  <si>
    <t xml:space="preserve">Model 1:  Reinvest (Non-Bank) </t>
  </si>
  <si>
    <t xml:space="preserve">Model 2:  Divest (Bank) </t>
  </si>
  <si>
    <t xml:space="preserve">Model 3:  Combined - Reinvest (Bank) and Divest (Bank) </t>
  </si>
  <si>
    <t>3)</t>
  </si>
  <si>
    <t xml:space="preserve">What is included in each financial scenario simulation?  </t>
  </si>
  <si>
    <t xml:space="preserve">The report has 3 model scenarios:  </t>
  </si>
  <si>
    <t xml:space="preserve">Each financial scenario includes three tabs:  </t>
  </si>
  <si>
    <t xml:space="preserve">  i)  A bottom up income statement and balance sheet build up for a financial entity with $1 billion assets </t>
  </si>
  <si>
    <t xml:space="preserve">  ii) Assuming it will take 10 years to reach $1 billion in assets, the year-by-year balance sheets and income statement for the 1st 10 years of operations plus the start-up year.  </t>
  </si>
  <si>
    <t xml:space="preserve">a) A low range financial simulation [ScenarioName-Low] that includes </t>
  </si>
  <si>
    <t xml:space="preserve">b) A high range financial simulation [ScenarioName-High] with the same set up as the low range financial simulation with higher loan losses, operating expenses and start-up cost </t>
  </si>
  <si>
    <t xml:space="preserve">c) Projection [ScenarioNameChart] the financial institution's balance sheet to $12.6 billion at 5% annual growth rate and estimating revenues, expenses, and surplus (deficit) for each year using financial ratios for the bottom up financial statements </t>
  </si>
  <si>
    <t xml:space="preserve">Projections include the low range case, high range case, and an average.  </t>
  </si>
  <si>
    <t xml:space="preserve">The projections are used to estimate breakeven and total operational subsidy </t>
  </si>
  <si>
    <t xml:space="preserve">input </t>
  </si>
  <si>
    <t xml:space="preserve">  These cells are assumption inputs for the financial model </t>
  </si>
  <si>
    <t>cal</t>
  </si>
  <si>
    <t xml:space="preserve">  These cells are calculations </t>
  </si>
  <si>
    <t xml:space="preserve">A quick reference on color coding of the financial model </t>
  </si>
  <si>
    <t>adj</t>
  </si>
  <si>
    <t xml:space="preserve">  These cells include special adjustments to the high range case </t>
  </si>
  <si>
    <t xml:space="preserve">20% of a bank </t>
  </si>
  <si>
    <t>Cash management IT development</t>
  </si>
  <si>
    <t>Divest Bank</t>
  </si>
  <si>
    <t>Reinvest Bank</t>
  </si>
  <si>
    <t>Combined Bank</t>
  </si>
  <si>
    <t>Consolidated Startup Cost Over a 2 Year Period For A Bank with input from J. Fingers at State Beneficial Bank, New Resource Bank and Bank of SF</t>
  </si>
  <si>
    <t>Assume costs are 20% of bank costs (less staff (compliance, accounting), limited regulatory filing, less technology required</t>
  </si>
  <si>
    <t>Consolidated Startup Cost Over a 2 Year Period For A Reinvestment Non-Bank with input from J. Fingers at State Beneficial Bank, New Resource Bank and Bank of SF</t>
  </si>
  <si>
    <t>For non-lending HQ</t>
  </si>
  <si>
    <t>Note:  avg of 1st 2 rounds of financing at startup fintech companies</t>
  </si>
  <si>
    <t>Tech reinvestment is $5M - $7.5M higher b/c some costs are included in cash management IT estimate</t>
  </si>
  <si>
    <t>20% of tech costs spent on maintenance</t>
  </si>
  <si>
    <t>20% of tech costs spent on maintenance plus $25 million for salaries</t>
  </si>
  <si>
    <t>Annual Fixed Cost for Banks</t>
  </si>
  <si>
    <t>Annual Fixed Costs for Non-Bank</t>
  </si>
  <si>
    <t>Low range</t>
  </si>
  <si>
    <t>High range</t>
  </si>
  <si>
    <t>Fees</t>
  </si>
  <si>
    <t xml:space="preserve">As % of Total Assets </t>
  </si>
  <si>
    <t>Synchrony Financial - $1.3B/90.5B</t>
  </si>
  <si>
    <t xml:space="preserve">Assuming no regulatory filing and bank compliance program development and about a third of a footprint (e.g. staffing, technology development, real estate, and other services) than that of a bank.  </t>
  </si>
  <si>
    <t xml:space="preserve">Non-Bank </t>
  </si>
  <si>
    <t xml:space="preserve">Fees </t>
  </si>
  <si>
    <t xml:space="preserve">TOTAL REVENUES </t>
  </si>
  <si>
    <t xml:space="preserve">Detailed Income Statement Estimate By Lines of Business - at $1B in Net Loans </t>
  </si>
  <si>
    <t>Cash Mgmt Exp</t>
  </si>
  <si>
    <t xml:space="preserve">Bank Start up cost </t>
  </si>
  <si>
    <t xml:space="preserve">Bank Annual HQ cost </t>
  </si>
  <si>
    <t>Detailed Income Statement Estimate By Lines of Business - at $1B</t>
  </si>
  <si>
    <t>Assume costs are 25% of bank costs (less staff (compliance, accounting), limited regulatory filing, less technology required</t>
  </si>
  <si>
    <t xml:space="preserve">25% of a bank </t>
  </si>
  <si>
    <t>PROFIT</t>
  </si>
  <si>
    <t xml:space="preserve">TOTAL EXPENSES </t>
  </si>
  <si>
    <t xml:space="preserve">Note:  Operating expenses for SMB Lending is % of Net Loans (not % of Revenues).  </t>
  </si>
  <si>
    <t xml:space="preserve">Small Business Wholesale Lending operating expenses is 150% of the operating expenses from the Low Cost Estimate scenario.    </t>
  </si>
  <si>
    <t xml:space="preserve">This is the proforma income statement shown in the technical appendix </t>
  </si>
  <si>
    <t xml:space="preserve">Trend projections for Year 1-9 and Year 11-60 are based on this income statement ratios </t>
  </si>
  <si>
    <t xml:space="preserve">Note:  Operating expenses for Small Business Lending - Direct is a percent of Net Loans (not a percent of Revenues) </t>
  </si>
  <si>
    <t xml:space="preserve">Note:  Operating expenses for Small Business Lending - Direct is a percent of Net Loans (not a percent of Revenues). </t>
  </si>
  <si>
    <t xml:space="preserve">Small Business Wholesale Lending operating expenses is 1.5 times of the operating expenses from the Low Cost scenario (not a percent of Revenues).    </t>
  </si>
  <si>
    <t xml:space="preserve">Breakeven Year </t>
  </si>
  <si>
    <t>Average</t>
  </si>
  <si>
    <t>Low Range</t>
  </si>
  <si>
    <t xml:space="preserve">Never </t>
  </si>
  <si>
    <t xml:space="preserve">    Asset Size ($ million) </t>
  </si>
  <si>
    <t xml:space="preserve">    Capital ($ million) </t>
  </si>
  <si>
    <t xml:space="preserve">    Operational Subsidy ($ million) </t>
  </si>
  <si>
    <t xml:space="preserve">$(42) a year </t>
  </si>
  <si>
    <t xml:space="preserve">$(78) a year </t>
  </si>
  <si>
    <t>Years to Break Even</t>
  </si>
  <si>
    <t>Start-Up Costs</t>
  </si>
  <si>
    <t>Comparison Table</t>
  </si>
  <si>
    <t>Size at Break Even</t>
  </si>
  <si>
    <t>Opoerational Subsidy</t>
  </si>
  <si>
    <t>Model One</t>
  </si>
  <si>
    <t>Model Two</t>
  </si>
  <si>
    <t>Model Three</t>
  </si>
  <si>
    <t xml:space="preserve">Model One - "Reinvest" Non-Bank Model (Low Range Estimate) </t>
  </si>
  <si>
    <t xml:space="preserve">Model One - "Reinvest" Non-Bank Model (High Range Estimate) </t>
  </si>
  <si>
    <t xml:space="preserve">Model One:  $1B - Reinvest Non-Bank Model  </t>
  </si>
  <si>
    <t xml:space="preserve">Model Two:  $1B - Divest Model </t>
  </si>
  <si>
    <t xml:space="preserve">Model Three:  $1B - Combined Model  </t>
  </si>
  <si>
    <t xml:space="preserve">Breakeven Analysis - Model One </t>
  </si>
  <si>
    <t>Breakeven Analysis - Model Two</t>
  </si>
  <si>
    <t>Breakeven Analysis - Model Three</t>
  </si>
  <si>
    <t xml:space="preserve">Breakeven Analysis - Model Comparison </t>
  </si>
  <si>
    <t xml:space="preserve">Growth Rate:   </t>
  </si>
  <si>
    <t xml:space="preserve">Model One:  Reinvest (Non-Bank) Model Trends (From Year 1 to 60) </t>
  </si>
  <si>
    <t xml:space="preserve">Model Two:  Divest Model Trends (From Year 1 to 60) </t>
  </si>
  <si>
    <t xml:space="preserve">Model Three:  Combined Model Trends (From Year 1 to 60) </t>
  </si>
  <si>
    <t xml:space="preserve">Model Three:  Combined Model (Low Range Estimate) </t>
  </si>
  <si>
    <t xml:space="preserve">Model Two:  Divest Model (Low Range Estimate) </t>
  </si>
  <si>
    <t xml:space="preserve">Model Two:  Divest Model (High Range Estimate) </t>
  </si>
  <si>
    <t xml:space="preserve">Model Three:  Combined Model (High Range Estimate) </t>
  </si>
  <si>
    <t xml:space="preserve">3 Scenarios </t>
  </si>
  <si>
    <t xml:space="preserve">Backup:  Start-up Cost Sources </t>
  </si>
  <si>
    <t xml:space="preserve">How the 3 Scenarios are organized?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</si>
</sst>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&quot;$&quot;#,##0"/>
    <numFmt numFmtId="168" formatCode="#,##0.0_);\(#,##0.0\)"/>
    <numFmt numFmtId="169" formatCode="&quot;$&quot;#,##0.0"/>
    <numFmt numFmtId="170" formatCode="&quot;$&quot;#,##0.0_);\(&quot;$&quot;#,##0.0\)"/>
    <numFmt numFmtId="171" formatCode="_(* #,##0_);_(* \(#,##0\);_(* &quot;-&quot;?_);_(@_)"/>
    <numFmt numFmtId="172" formatCode="&quot;$&quot;#,##0.00"/>
    <numFmt numFmtId="173" formatCode="&quot;$&quot;#,##0.000000_);[Red]\(&quot;$&quot;#,##0.000000\)"/>
    <numFmt numFmtId="174" formatCode="_(&quot;$&quot;* #,##0_);_(&quot;$&quot;* \(#,##0\);_(&quot;$&quot;* &quot;-&quot;??_);_(@_)"/>
    <numFmt numFmtId="175" formatCode="_(&quot;$&quot;* #,##0_);_(&quot;$&quot;* \(#,##0\);_(&quot;$&quot;* &quot;-&quot;?_);_(@_)"/>
    <numFmt numFmtId="176" formatCode="0_);\(0\)"/>
  </numFmts>
  <fonts count="2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 (Body)_x0000_"/>
    </font>
    <font>
      <b/>
      <sz val="14"/>
      <color theme="1"/>
      <name val="Calibri"/>
      <family val="2"/>
      <scheme val="minor"/>
    </font>
    <font>
      <sz val="12"/>
      <color theme="5" tint="0.39997558519241921"/>
      <name val="Calibri"/>
      <family val="2"/>
      <scheme val="minor"/>
    </font>
    <font>
      <i/>
      <sz val="12"/>
      <color theme="5" tint="0.39997558519241921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7" tint="-0.249977111117893"/>
      <name val="Calibri"/>
      <family val="2"/>
      <scheme val="minor"/>
    </font>
    <font>
      <i/>
      <sz val="12"/>
      <color theme="7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rgb="FF0070C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</borders>
  <cellStyleXfs count="13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300">
    <xf numFmtId="0" fontId="0" fillId="0" borderId="0" xfId="0"/>
    <xf numFmtId="166" fontId="0" fillId="0" borderId="0" xfId="1" applyNumberFormat="1" applyFont="1"/>
    <xf numFmtId="0" fontId="0" fillId="2" borderId="0" xfId="0" applyFill="1"/>
    <xf numFmtId="0" fontId="0" fillId="0" borderId="0" xfId="0" applyBorder="1"/>
    <xf numFmtId="0" fontId="2" fillId="0" borderId="0" xfId="0" applyFont="1"/>
    <xf numFmtId="0" fontId="0" fillId="0" borderId="1" xfId="0" applyBorder="1"/>
    <xf numFmtId="167" fontId="0" fillId="0" borderId="0" xfId="0" applyNumberFormat="1"/>
    <xf numFmtId="0" fontId="2" fillId="0" borderId="0" xfId="0" applyFont="1" applyAlignment="1">
      <alignment horizontal="center" vertical="center" wrapText="1"/>
    </xf>
    <xf numFmtId="9" fontId="0" fillId="0" borderId="0" xfId="0" applyNumberFormat="1"/>
    <xf numFmtId="165" fontId="0" fillId="0" borderId="0" xfId="0" applyNumberFormat="1"/>
    <xf numFmtId="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/>
    <xf numFmtId="167" fontId="0" fillId="0" borderId="4" xfId="0" applyNumberFormat="1" applyBorder="1"/>
    <xf numFmtId="37" fontId="0" fillId="0" borderId="4" xfId="0" applyNumberFormat="1" applyBorder="1"/>
    <xf numFmtId="5" fontId="0" fillId="0" borderId="4" xfId="0" applyNumberFormat="1" applyBorder="1"/>
    <xf numFmtId="0" fontId="3" fillId="0" borderId="0" xfId="0" applyFont="1"/>
    <xf numFmtId="10" fontId="3" fillId="0" borderId="0" xfId="2" applyNumberFormat="1" applyFont="1"/>
    <xf numFmtId="9" fontId="0" fillId="0" borderId="0" xfId="2" applyFont="1"/>
    <xf numFmtId="165" fontId="0" fillId="0" borderId="4" xfId="2" applyNumberFormat="1" applyFont="1" applyBorder="1"/>
    <xf numFmtId="165" fontId="0" fillId="0" borderId="0" xfId="2" applyNumberFormat="1" applyFont="1"/>
    <xf numFmtId="10" fontId="0" fillId="0" borderId="0" xfId="2" applyNumberFormat="1" applyFont="1"/>
    <xf numFmtId="0" fontId="0" fillId="3" borderId="0" xfId="0" applyFill="1"/>
    <xf numFmtId="0" fontId="2" fillId="3" borderId="0" xfId="0" applyFont="1" applyFill="1"/>
    <xf numFmtId="0" fontId="0" fillId="0" borderId="0" xfId="0" applyFill="1" applyBorder="1"/>
    <xf numFmtId="9" fontId="0" fillId="0" borderId="0" xfId="2" applyFont="1" applyBorder="1"/>
    <xf numFmtId="167" fontId="0" fillId="3" borderId="0" xfId="0" applyNumberFormat="1" applyFill="1"/>
    <xf numFmtId="167" fontId="0" fillId="3" borderId="4" xfId="0" applyNumberFormat="1" applyFill="1" applyBorder="1"/>
    <xf numFmtId="164" fontId="0" fillId="3" borderId="0" xfId="1" applyNumberFormat="1" applyFont="1" applyFill="1"/>
    <xf numFmtId="5" fontId="0" fillId="3" borderId="0" xfId="0" applyNumberFormat="1" applyFill="1"/>
    <xf numFmtId="5" fontId="0" fillId="3" borderId="4" xfId="0" applyNumberFormat="1" applyFill="1" applyBorder="1"/>
    <xf numFmtId="0" fontId="0" fillId="0" borderId="0" xfId="0" applyAlignment="1">
      <alignment horizontal="right"/>
    </xf>
    <xf numFmtId="164" fontId="0" fillId="0" borderId="0" xfId="1" applyNumberFormat="1" applyFont="1"/>
    <xf numFmtId="0" fontId="0" fillId="0" borderId="0" xfId="0" quotePrefix="1"/>
    <xf numFmtId="0" fontId="0" fillId="0" borderId="0" xfId="0" applyAlignment="1">
      <alignment horizontal="left"/>
    </xf>
    <xf numFmtId="164" fontId="0" fillId="0" borderId="0" xfId="0" applyNumberFormat="1"/>
    <xf numFmtId="169" fontId="0" fillId="0" borderId="0" xfId="0" applyNumberFormat="1"/>
    <xf numFmtId="170" fontId="0" fillId="0" borderId="0" xfId="0" applyNumberFormat="1"/>
    <xf numFmtId="170" fontId="0" fillId="0" borderId="1" xfId="0" applyNumberFormat="1" applyBorder="1"/>
    <xf numFmtId="0" fontId="3" fillId="0" borderId="0" xfId="0" applyFont="1" applyFill="1" applyBorder="1"/>
    <xf numFmtId="165" fontId="3" fillId="0" borderId="0" xfId="2" applyNumberFormat="1" applyFont="1"/>
    <xf numFmtId="37" fontId="0" fillId="0" borderId="0" xfId="0" applyNumberFormat="1" applyFont="1"/>
    <xf numFmtId="0" fontId="0" fillId="3" borderId="0" xfId="0" applyFont="1" applyFill="1"/>
    <xf numFmtId="37" fontId="0" fillId="3" borderId="0" xfId="0" applyNumberFormat="1" applyFont="1" applyFill="1"/>
    <xf numFmtId="9" fontId="4" fillId="0" borderId="0" xfId="0" applyNumberFormat="1" applyFont="1"/>
    <xf numFmtId="0" fontId="4" fillId="0" borderId="0" xfId="0" applyFont="1"/>
    <xf numFmtId="37" fontId="0" fillId="0" borderId="0" xfId="0" applyNumberFormat="1"/>
    <xf numFmtId="0" fontId="0" fillId="0" borderId="2" xfId="0" applyBorder="1"/>
    <xf numFmtId="37" fontId="0" fillId="0" borderId="2" xfId="0" applyNumberFormat="1" applyBorder="1"/>
    <xf numFmtId="3" fontId="3" fillId="0" borderId="0" xfId="0" applyNumberFormat="1" applyFont="1"/>
    <xf numFmtId="0" fontId="3" fillId="0" borderId="0" xfId="0" applyFont="1" applyBorder="1"/>
    <xf numFmtId="0" fontId="0" fillId="0" borderId="6" xfId="0" applyBorder="1"/>
    <xf numFmtId="0" fontId="3" fillId="0" borderId="2" xfId="0" applyFont="1" applyBorder="1"/>
    <xf numFmtId="0" fontId="2" fillId="0" borderId="0" xfId="0" applyFont="1" applyBorder="1"/>
    <xf numFmtId="0" fontId="2" fillId="0" borderId="0" xfId="0" applyFont="1" applyFill="1" applyBorder="1"/>
    <xf numFmtId="5" fontId="0" fillId="0" borderId="0" xfId="0" applyNumberFormat="1" applyFill="1" applyBorder="1"/>
    <xf numFmtId="37" fontId="0" fillId="0" borderId="0" xfId="0" applyNumberFormat="1" applyFill="1" applyBorder="1"/>
    <xf numFmtId="37" fontId="0" fillId="3" borderId="0" xfId="0" applyNumberFormat="1" applyFill="1"/>
    <xf numFmtId="10" fontId="0" fillId="0" borderId="0" xfId="0" applyNumberFormat="1"/>
    <xf numFmtId="164" fontId="3" fillId="0" borderId="0" xfId="1" applyNumberFormat="1" applyFont="1"/>
    <xf numFmtId="0" fontId="2" fillId="0" borderId="0" xfId="0" applyFont="1" applyBorder="1" applyAlignment="1">
      <alignment horizontal="center" vertical="center" wrapText="1"/>
    </xf>
    <xf numFmtId="164" fontId="0" fillId="0" borderId="3" xfId="1" applyNumberFormat="1" applyFont="1" applyBorder="1"/>
    <xf numFmtId="10" fontId="0" fillId="0" borderId="0" xfId="0" applyNumberFormat="1" applyFill="1" applyBorder="1"/>
    <xf numFmtId="9" fontId="0" fillId="0" borderId="0" xfId="2" applyFont="1" applyFill="1" applyBorder="1"/>
    <xf numFmtId="164" fontId="0" fillId="0" borderId="0" xfId="1" applyNumberFormat="1" applyFont="1" applyBorder="1"/>
    <xf numFmtId="43" fontId="0" fillId="0" borderId="0" xfId="0" applyNumberFormat="1"/>
    <xf numFmtId="168" fontId="0" fillId="0" borderId="0" xfId="0" applyNumberFormat="1"/>
    <xf numFmtId="0" fontId="2" fillId="0" borderId="0" xfId="0" applyFont="1" applyFill="1"/>
    <xf numFmtId="0" fontId="0" fillId="0" borderId="0" xfId="0" applyFill="1"/>
    <xf numFmtId="37" fontId="0" fillId="0" borderId="2" xfId="0" applyNumberFormat="1" applyFill="1" applyBorder="1"/>
    <xf numFmtId="9" fontId="0" fillId="0" borderId="0" xfId="0" applyNumberFormat="1" applyFill="1" applyBorder="1"/>
    <xf numFmtId="10" fontId="0" fillId="0" borderId="0" xfId="2" applyNumberFormat="1" applyFont="1" applyFill="1" applyBorder="1"/>
    <xf numFmtId="172" fontId="0" fillId="0" borderId="0" xfId="0" applyNumberFormat="1"/>
    <xf numFmtId="0" fontId="7" fillId="0" borderId="0" xfId="0" applyFont="1" applyFill="1" applyBorder="1" applyAlignment="1">
      <alignment wrapText="1"/>
    </xf>
    <xf numFmtId="164" fontId="0" fillId="6" borderId="2" xfId="0" applyNumberFormat="1" applyFill="1" applyBorder="1"/>
    <xf numFmtId="0" fontId="8" fillId="0" borderId="1" xfId="0" applyFont="1" applyBorder="1" applyAlignment="1">
      <alignment horizontal="center" vertical="top" wrapText="1"/>
    </xf>
    <xf numFmtId="0" fontId="0" fillId="0" borderId="0" xfId="0" quotePrefix="1" applyAlignment="1">
      <alignment horizontal="right"/>
    </xf>
    <xf numFmtId="8" fontId="0" fillId="0" borderId="0" xfId="0" applyNumberFormat="1" applyFill="1" applyBorder="1"/>
    <xf numFmtId="0" fontId="2" fillId="0" borderId="2" xfId="0" applyFont="1" applyBorder="1"/>
    <xf numFmtId="0" fontId="9" fillId="8" borderId="0" xfId="0" applyFont="1" applyFill="1"/>
    <xf numFmtId="0" fontId="0" fillId="8" borderId="0" xfId="0" applyFill="1"/>
    <xf numFmtId="5" fontId="0" fillId="0" borderId="1" xfId="0" applyNumberFormat="1" applyBorder="1"/>
    <xf numFmtId="5" fontId="2" fillId="0" borderId="2" xfId="0" applyNumberFormat="1" applyFont="1" applyBorder="1"/>
    <xf numFmtId="165" fontId="10" fillId="0" borderId="0" xfId="0" applyNumberFormat="1" applyFont="1"/>
    <xf numFmtId="165" fontId="10" fillId="4" borderId="0" xfId="0" applyNumberFormat="1" applyFont="1" applyFill="1"/>
    <xf numFmtId="3" fontId="3" fillId="0" borderId="2" xfId="0" applyNumberFormat="1" applyFont="1" applyBorder="1"/>
    <xf numFmtId="37" fontId="0" fillId="0" borderId="0" xfId="0" applyNumberFormat="1" applyBorder="1"/>
    <xf numFmtId="3" fontId="3" fillId="0" borderId="0" xfId="1" applyNumberFormat="1" applyFont="1" applyBorder="1"/>
    <xf numFmtId="165" fontId="0" fillId="0" borderId="0" xfId="0" applyNumberFormat="1" applyBorder="1"/>
    <xf numFmtId="171" fontId="0" fillId="0" borderId="0" xfId="0" applyNumberFormat="1" applyBorder="1"/>
    <xf numFmtId="0" fontId="3" fillId="0" borderId="0" xfId="0" applyFont="1" applyAlignment="1">
      <alignment horizontal="left" indent="1"/>
    </xf>
    <xf numFmtId="164" fontId="3" fillId="0" borderId="0" xfId="1" applyNumberFormat="1" applyFont="1" applyBorder="1"/>
    <xf numFmtId="0" fontId="2" fillId="0" borderId="5" xfId="0" applyFont="1" applyBorder="1"/>
    <xf numFmtId="164" fontId="2" fillId="0" borderId="5" xfId="0" applyNumberFormat="1" applyFont="1" applyBorder="1"/>
    <xf numFmtId="0" fontId="0" fillId="0" borderId="0" xfId="0" applyFont="1" applyAlignment="1">
      <alignment horizontal="left" indent="1"/>
    </xf>
    <xf numFmtId="0" fontId="0" fillId="0" borderId="2" xfId="0" applyFont="1" applyBorder="1" applyAlignment="1">
      <alignment horizontal="left" indent="1"/>
    </xf>
    <xf numFmtId="164" fontId="0" fillId="0" borderId="2" xfId="0" applyNumberFormat="1" applyBorder="1"/>
    <xf numFmtId="164" fontId="0" fillId="0" borderId="2" xfId="1" applyNumberFormat="1" applyFont="1" applyBorder="1"/>
    <xf numFmtId="0" fontId="2" fillId="0" borderId="0" xfId="0" applyFont="1" applyFill="1" applyBorder="1" applyAlignment="1">
      <alignment horizontal="left" indent="1"/>
    </xf>
    <xf numFmtId="164" fontId="2" fillId="0" borderId="0" xfId="0" applyNumberFormat="1" applyFont="1"/>
    <xf numFmtId="0" fontId="0" fillId="0" borderId="0" xfId="0" applyFont="1"/>
    <xf numFmtId="0" fontId="2" fillId="9" borderId="1" xfId="0" applyFont="1" applyFill="1" applyBorder="1"/>
    <xf numFmtId="0" fontId="0" fillId="9" borderId="1" xfId="0" applyFill="1" applyBorder="1"/>
    <xf numFmtId="0" fontId="0" fillId="3" borderId="4" xfId="0" applyFill="1" applyBorder="1"/>
    <xf numFmtId="7" fontId="0" fillId="0" borderId="0" xfId="131" applyNumberFormat="1" applyFont="1" applyFill="1" applyBorder="1"/>
    <xf numFmtId="174" fontId="0" fillId="0" borderId="0" xfId="131" applyNumberFormat="1" applyFont="1" applyFill="1" applyBorder="1"/>
    <xf numFmtId="0" fontId="8" fillId="0" borderId="0" xfId="0" applyFont="1" applyFill="1" applyBorder="1" applyAlignment="1">
      <alignment horizontal="center" vertical="top" wrapText="1"/>
    </xf>
    <xf numFmtId="166" fontId="0" fillId="0" borderId="0" xfId="1" applyNumberFormat="1" applyFont="1" applyFill="1" applyBorder="1"/>
    <xf numFmtId="164" fontId="0" fillId="0" borderId="0" xfId="1" applyNumberFormat="1" applyFont="1" applyFill="1" applyBorder="1"/>
    <xf numFmtId="175" fontId="0" fillId="0" borderId="0" xfId="0" applyNumberFormat="1" applyFill="1" applyBorder="1"/>
    <xf numFmtId="165" fontId="0" fillId="0" borderId="0" xfId="2" applyNumberFormat="1" applyFont="1" applyFill="1" applyBorder="1"/>
    <xf numFmtId="0" fontId="0" fillId="0" borderId="0" xfId="0" applyFont="1"/>
    <xf numFmtId="0" fontId="0" fillId="0" borderId="0" xfId="0" applyFont="1"/>
    <xf numFmtId="43" fontId="0" fillId="0" borderId="0" xfId="1" applyFont="1" applyFill="1" applyBorder="1"/>
    <xf numFmtId="175" fontId="0" fillId="0" borderId="3" xfId="0" applyNumberFormat="1" applyFill="1" applyBorder="1"/>
    <xf numFmtId="37" fontId="0" fillId="0" borderId="2" xfId="0" applyNumberFormat="1" applyBorder="1" applyAlignment="1">
      <alignment horizontal="right"/>
    </xf>
    <xf numFmtId="164" fontId="0" fillId="10" borderId="0" xfId="1" applyNumberFormat="1" applyFont="1" applyFill="1" applyAlignment="1">
      <alignment horizontal="left" indent="1"/>
    </xf>
    <xf numFmtId="165" fontId="10" fillId="10" borderId="0" xfId="0" applyNumberFormat="1" applyFont="1" applyFill="1"/>
    <xf numFmtId="10" fontId="0" fillId="0" borderId="4" xfId="2" applyNumberFormat="1" applyFont="1" applyBorder="1"/>
    <xf numFmtId="0" fontId="0" fillId="0" borderId="0" xfId="0" applyFont="1"/>
    <xf numFmtId="0" fontId="13" fillId="0" borderId="0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 applyAlignment="1">
      <alignment horizontal="right"/>
    </xf>
    <xf numFmtId="0" fontId="0" fillId="2" borderId="0" xfId="0" applyFill="1" applyBorder="1"/>
    <xf numFmtId="0" fontId="0" fillId="2" borderId="11" xfId="0" applyFill="1" applyBorder="1"/>
    <xf numFmtId="167" fontId="0" fillId="2" borderId="10" xfId="0" applyNumberFormat="1" applyFill="1" applyBorder="1" applyAlignment="1">
      <alignment horizontal="right"/>
    </xf>
    <xf numFmtId="167" fontId="0" fillId="2" borderId="0" xfId="0" applyNumberFormat="1" applyFill="1" applyBorder="1"/>
    <xf numFmtId="5" fontId="0" fillId="2" borderId="0" xfId="0" applyNumberFormat="1" applyFill="1" applyBorder="1"/>
    <xf numFmtId="0" fontId="0" fillId="2" borderId="10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0" xfId="0" applyFill="1" applyBorder="1" applyAlignment="1">
      <alignment horizontal="right"/>
    </xf>
    <xf numFmtId="164" fontId="0" fillId="0" borderId="0" xfId="1" applyNumberFormat="1" applyFont="1" applyAlignment="1">
      <alignment horizontal="center"/>
    </xf>
    <xf numFmtId="10" fontId="0" fillId="2" borderId="0" xfId="2" applyNumberFormat="1" applyFont="1" applyFill="1"/>
    <xf numFmtId="164" fontId="0" fillId="2" borderId="0" xfId="1" applyNumberFormat="1" applyFont="1" applyFill="1"/>
    <xf numFmtId="0" fontId="0" fillId="0" borderId="0" xfId="0" applyFont="1"/>
    <xf numFmtId="176" fontId="0" fillId="0" borderId="0" xfId="0" applyNumberFormat="1"/>
    <xf numFmtId="1" fontId="0" fillId="0" borderId="0" xfId="0" applyNumberFormat="1"/>
    <xf numFmtId="1" fontId="0" fillId="0" borderId="0" xfId="1" applyNumberFormat="1" applyFont="1"/>
    <xf numFmtId="164" fontId="0" fillId="10" borderId="0" xfId="1" applyNumberFormat="1" applyFont="1" applyFill="1"/>
    <xf numFmtId="0" fontId="14" fillId="0" borderId="0" xfId="0" applyFont="1"/>
    <xf numFmtId="0" fontId="9" fillId="0" borderId="0" xfId="0" applyFont="1"/>
    <xf numFmtId="0" fontId="0" fillId="0" borderId="0" xfId="0" applyFont="1"/>
    <xf numFmtId="0" fontId="2" fillId="2" borderId="7" xfId="0" applyFont="1" applyFill="1" applyBorder="1"/>
    <xf numFmtId="165" fontId="11" fillId="4" borderId="0" xfId="2" applyNumberFormat="1" applyFont="1" applyFill="1"/>
    <xf numFmtId="6" fontId="13" fillId="0" borderId="0" xfId="0" applyNumberFormat="1" applyFont="1" applyFill="1" applyBorder="1"/>
    <xf numFmtId="9" fontId="16" fillId="4" borderId="0" xfId="2" applyFont="1" applyFill="1" applyBorder="1"/>
    <xf numFmtId="3" fontId="17" fillId="4" borderId="2" xfId="0" applyNumberFormat="1" applyFont="1" applyFill="1" applyBorder="1"/>
    <xf numFmtId="164" fontId="16" fillId="7" borderId="0" xfId="1" applyNumberFormat="1" applyFont="1" applyFill="1" applyAlignment="1">
      <alignment horizontal="left" indent="1"/>
    </xf>
    <xf numFmtId="164" fontId="0" fillId="4" borderId="0" xfId="1" applyNumberFormat="1" applyFont="1" applyFill="1"/>
    <xf numFmtId="164" fontId="0" fillId="4" borderId="0" xfId="1" applyNumberFormat="1" applyFont="1" applyFill="1" applyAlignment="1">
      <alignment horizontal="left" indent="1"/>
    </xf>
    <xf numFmtId="164" fontId="16" fillId="4" borderId="0" xfId="1" applyNumberFormat="1" applyFont="1" applyFill="1" applyBorder="1"/>
    <xf numFmtId="175" fontId="16" fillId="4" borderId="0" xfId="0" applyNumberFormat="1" applyFont="1" applyFill="1" applyBorder="1"/>
    <xf numFmtId="174" fontId="16" fillId="4" borderId="0" xfId="131" applyNumberFormat="1" applyFont="1" applyFill="1" applyBorder="1"/>
    <xf numFmtId="165" fontId="0" fillId="0" borderId="0" xfId="0" applyNumberFormat="1" applyFill="1"/>
    <xf numFmtId="164" fontId="2" fillId="0" borderId="3" xfId="1" applyNumberFormat="1" applyFont="1" applyBorder="1"/>
    <xf numFmtId="173" fontId="0" fillId="0" borderId="0" xfId="0" applyNumberFormat="1" applyFill="1"/>
    <xf numFmtId="0" fontId="12" fillId="0" borderId="0" xfId="0" applyFont="1" applyFill="1" applyAlignment="1">
      <alignment vertical="center"/>
    </xf>
    <xf numFmtId="168" fontId="0" fillId="0" borderId="0" xfId="0" applyNumberFormat="1" applyFill="1" applyBorder="1"/>
    <xf numFmtId="10" fontId="3" fillId="0" borderId="0" xfId="2" applyNumberFormat="1" applyFont="1" applyFill="1" applyBorder="1"/>
    <xf numFmtId="164" fontId="3" fillId="0" borderId="0" xfId="0" applyNumberFormat="1" applyFont="1" applyFill="1" applyBorder="1"/>
    <xf numFmtId="164" fontId="0" fillId="0" borderId="0" xfId="0" applyNumberFormat="1" applyFill="1" applyBorder="1"/>
    <xf numFmtId="0" fontId="0" fillId="0" borderId="0" xfId="0" applyAlignment="1">
      <alignment wrapText="1"/>
    </xf>
    <xf numFmtId="0" fontId="0" fillId="4" borderId="0" xfId="0" applyFill="1"/>
    <xf numFmtId="0" fontId="10" fillId="4" borderId="0" xfId="0" applyFont="1" applyFill="1"/>
    <xf numFmtId="0" fontId="10" fillId="7" borderId="0" xfId="0" applyFont="1" applyFill="1"/>
    <xf numFmtId="165" fontId="11" fillId="4" borderId="0" xfId="0" applyNumberFormat="1" applyFont="1" applyFill="1"/>
    <xf numFmtId="164" fontId="10" fillId="4" borderId="0" xfId="1" applyNumberFormat="1" applyFont="1" applyFill="1"/>
    <xf numFmtId="164" fontId="10" fillId="4" borderId="0" xfId="1" applyNumberFormat="1" applyFont="1" applyFill="1" applyAlignment="1">
      <alignment horizontal="left" indent="1"/>
    </xf>
    <xf numFmtId="0" fontId="11" fillId="4" borderId="0" xfId="0" applyFont="1" applyFill="1"/>
    <xf numFmtId="165" fontId="18" fillId="4" borderId="0" xfId="0" applyNumberFormat="1" applyFont="1" applyFill="1"/>
    <xf numFmtId="37" fontId="10" fillId="4" borderId="0" xfId="0" applyNumberFormat="1" applyFont="1" applyFill="1"/>
    <xf numFmtId="164" fontId="10" fillId="7" borderId="0" xfId="1" applyNumberFormat="1" applyFont="1" applyFill="1" applyAlignment="1">
      <alignment horizontal="left" indent="1"/>
    </xf>
    <xf numFmtId="37" fontId="10" fillId="7" borderId="0" xfId="0" applyNumberFormat="1" applyFont="1" applyFill="1"/>
    <xf numFmtId="169" fontId="0" fillId="0" borderId="0" xfId="0" applyNumberFormat="1" applyFill="1" applyBorder="1" applyAlignment="1">
      <alignment horizontal="right"/>
    </xf>
    <xf numFmtId="169" fontId="0" fillId="0" borderId="0" xfId="0" applyNumberFormat="1" applyBorder="1"/>
    <xf numFmtId="0" fontId="0" fillId="0" borderId="0" xfId="0" applyAlignment="1">
      <alignment horizontal="center"/>
    </xf>
    <xf numFmtId="169" fontId="0" fillId="0" borderId="6" xfId="0" applyNumberFormat="1" applyBorder="1"/>
    <xf numFmtId="172" fontId="0" fillId="0" borderId="6" xfId="0" applyNumberFormat="1" applyBorder="1"/>
    <xf numFmtId="170" fontId="0" fillId="0" borderId="0" xfId="0" applyNumberFormat="1" applyBorder="1"/>
    <xf numFmtId="170" fontId="0" fillId="0" borderId="6" xfId="0" applyNumberFormat="1" applyBorder="1"/>
    <xf numFmtId="7" fontId="0" fillId="0" borderId="6" xfId="0" applyNumberFormat="1" applyBorder="1"/>
    <xf numFmtId="0" fontId="19" fillId="0" borderId="0" xfId="0" applyFont="1"/>
    <xf numFmtId="169" fontId="0" fillId="0" borderId="3" xfId="0" applyNumberFormat="1" applyBorder="1"/>
    <xf numFmtId="170" fontId="0" fillId="0" borderId="3" xfId="0" applyNumberFormat="1" applyBorder="1"/>
    <xf numFmtId="9" fontId="3" fillId="0" borderId="0" xfId="2" applyFont="1" applyBorder="1"/>
    <xf numFmtId="0" fontId="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167" fontId="2" fillId="0" borderId="0" xfId="0" applyNumberFormat="1" applyFont="1" applyFill="1"/>
    <xf numFmtId="37" fontId="2" fillId="0" borderId="0" xfId="0" applyNumberFormat="1" applyFont="1" applyFill="1"/>
    <xf numFmtId="5" fontId="2" fillId="0" borderId="4" xfId="0" applyNumberFormat="1" applyFont="1" applyFill="1" applyBorder="1"/>
    <xf numFmtId="0" fontId="0" fillId="0" borderId="0" xfId="0" applyFont="1" applyFill="1"/>
    <xf numFmtId="167" fontId="0" fillId="3" borderId="0" xfId="0" applyNumberFormat="1" applyFont="1" applyFill="1"/>
    <xf numFmtId="167" fontId="20" fillId="3" borderId="0" xfId="0" applyNumberFormat="1" applyFont="1" applyFill="1"/>
    <xf numFmtId="0" fontId="20" fillId="3" borderId="0" xfId="0" applyFont="1" applyFill="1"/>
    <xf numFmtId="37" fontId="20" fillId="3" borderId="0" xfId="0" applyNumberFormat="1" applyFont="1" applyFill="1"/>
    <xf numFmtId="5" fontId="20" fillId="3" borderId="4" xfId="0" applyNumberFormat="1" applyFont="1" applyFill="1" applyBorder="1"/>
    <xf numFmtId="0" fontId="2" fillId="3" borderId="2" xfId="0" applyFont="1" applyFill="1" applyBorder="1"/>
    <xf numFmtId="5" fontId="2" fillId="3" borderId="2" xfId="0" applyNumberFormat="1" applyFont="1" applyFill="1" applyBorder="1"/>
    <xf numFmtId="37" fontId="2" fillId="3" borderId="2" xfId="0" applyNumberFormat="1" applyFont="1" applyFill="1" applyBorder="1"/>
    <xf numFmtId="167" fontId="2" fillId="3" borderId="2" xfId="0" applyNumberFormat="1" applyFont="1" applyFill="1" applyBorder="1"/>
    <xf numFmtId="0" fontId="21" fillId="3" borderId="2" xfId="0" applyFont="1" applyFill="1" applyBorder="1"/>
    <xf numFmtId="5" fontId="21" fillId="3" borderId="2" xfId="0" applyNumberFormat="1" applyFont="1" applyFill="1" applyBorder="1"/>
    <xf numFmtId="37" fontId="21" fillId="3" borderId="2" xfId="0" applyNumberFormat="1" applyFont="1" applyFill="1" applyBorder="1"/>
    <xf numFmtId="167" fontId="21" fillId="3" borderId="2" xfId="0" applyNumberFormat="1" applyFont="1" applyFill="1" applyBorder="1"/>
    <xf numFmtId="5" fontId="21" fillId="3" borderId="3" xfId="0" applyNumberFormat="1" applyFont="1" applyFill="1" applyBorder="1"/>
    <xf numFmtId="0" fontId="2" fillId="3" borderId="15" xfId="0" applyFont="1" applyFill="1" applyBorder="1"/>
    <xf numFmtId="5" fontId="2" fillId="3" borderId="15" xfId="0" applyNumberFormat="1" applyFont="1" applyFill="1" applyBorder="1"/>
    <xf numFmtId="5" fontId="2" fillId="3" borderId="16" xfId="0" applyNumberFormat="1" applyFont="1" applyFill="1" applyBorder="1"/>
    <xf numFmtId="167" fontId="0" fillId="0" borderId="0" xfId="0" applyNumberFormat="1" applyFont="1" applyFill="1"/>
    <xf numFmtId="37" fontId="0" fillId="0" borderId="0" xfId="0" applyNumberFormat="1" applyFont="1" applyFill="1"/>
    <xf numFmtId="0" fontId="20" fillId="0" borderId="0" xfId="0" applyFont="1" applyFill="1"/>
    <xf numFmtId="167" fontId="20" fillId="0" borderId="0" xfId="0" applyNumberFormat="1" applyFont="1" applyFill="1"/>
    <xf numFmtId="37" fontId="20" fillId="0" borderId="0" xfId="0" applyNumberFormat="1" applyFont="1" applyFill="1"/>
    <xf numFmtId="0" fontId="20" fillId="0" borderId="0" xfId="0" applyFont="1" applyFill="1" applyBorder="1"/>
    <xf numFmtId="5" fontId="0" fillId="3" borderId="0" xfId="0" applyNumberFormat="1" applyFont="1" applyFill="1"/>
    <xf numFmtId="5" fontId="20" fillId="3" borderId="0" xfId="0" applyNumberFormat="1" applyFont="1" applyFill="1"/>
    <xf numFmtId="5" fontId="22" fillId="10" borderId="0" xfId="0" applyNumberFormat="1" applyFont="1" applyFill="1"/>
    <xf numFmtId="165" fontId="22" fillId="4" borderId="0" xfId="0" applyNumberFormat="1" applyFont="1" applyFill="1"/>
    <xf numFmtId="0" fontId="22" fillId="4" borderId="0" xfId="0" applyFont="1" applyFill="1"/>
    <xf numFmtId="165" fontId="4" fillId="0" borderId="4" xfId="2" applyNumberFormat="1" applyFont="1" applyBorder="1"/>
    <xf numFmtId="9" fontId="4" fillId="0" borderId="4" xfId="2" applyFont="1" applyBorder="1"/>
    <xf numFmtId="0" fontId="0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7" fontId="0" fillId="0" borderId="0" xfId="0" applyNumberFormat="1" applyFill="1" applyBorder="1"/>
    <xf numFmtId="165" fontId="0" fillId="0" borderId="0" xfId="0" applyNumberFormat="1" applyFill="1" applyBorder="1"/>
    <xf numFmtId="167" fontId="2" fillId="0" borderId="0" xfId="0" applyNumberFormat="1" applyFont="1" applyFill="1" applyBorder="1"/>
    <xf numFmtId="37" fontId="2" fillId="0" borderId="0" xfId="0" applyNumberFormat="1" applyFont="1" applyFill="1" applyBorder="1"/>
    <xf numFmtId="5" fontId="2" fillId="0" borderId="0" xfId="0" applyNumberFormat="1" applyFont="1" applyFill="1" applyBorder="1"/>
    <xf numFmtId="173" fontId="0" fillId="0" borderId="0" xfId="0" applyNumberFormat="1" applyFill="1" applyBorder="1"/>
    <xf numFmtId="0" fontId="12" fillId="0" borderId="0" xfId="0" applyFont="1" applyFill="1" applyBorder="1" applyAlignment="1">
      <alignment vertical="center"/>
    </xf>
    <xf numFmtId="9" fontId="22" fillId="4" borderId="0" xfId="0" applyNumberFormat="1" applyFont="1" applyFill="1"/>
    <xf numFmtId="9" fontId="22" fillId="0" borderId="0" xfId="0" applyNumberFormat="1" applyFont="1" applyFill="1"/>
    <xf numFmtId="0" fontId="15" fillId="0" borderId="0" xfId="0" applyFont="1" applyFill="1" applyBorder="1" applyAlignment="1">
      <alignment horizontal="left" vertical="center" wrapText="1"/>
    </xf>
    <xf numFmtId="165" fontId="4" fillId="0" borderId="4" xfId="2" applyNumberFormat="1" applyFont="1" applyFill="1" applyBorder="1"/>
    <xf numFmtId="5" fontId="22" fillId="0" borderId="0" xfId="0" applyNumberFormat="1" applyFont="1" applyFill="1"/>
    <xf numFmtId="5" fontId="2" fillId="3" borderId="3" xfId="0" applyNumberFormat="1" applyFont="1" applyFill="1" applyBorder="1"/>
    <xf numFmtId="164" fontId="0" fillId="0" borderId="0" xfId="1" applyNumberFormat="1" applyFont="1" applyFill="1"/>
    <xf numFmtId="0" fontId="0" fillId="11" borderId="0" xfId="0" applyFill="1" applyBorder="1"/>
    <xf numFmtId="0" fontId="0" fillId="0" borderId="0" xfId="0" applyFont="1"/>
    <xf numFmtId="0" fontId="3" fillId="0" borderId="0" xfId="0" applyFont="1" applyFill="1"/>
    <xf numFmtId="5" fontId="0" fillId="0" borderId="0" xfId="0" applyNumberFormat="1" applyFont="1"/>
    <xf numFmtId="5" fontId="0" fillId="0" borderId="4" xfId="0" applyNumberFormat="1" applyFont="1" applyBorder="1"/>
    <xf numFmtId="165" fontId="3" fillId="0" borderId="0" xfId="2" applyNumberFormat="1" applyFont="1" applyFill="1"/>
    <xf numFmtId="165" fontId="3" fillId="0" borderId="0" xfId="0" applyNumberFormat="1" applyFont="1" applyFill="1"/>
    <xf numFmtId="167" fontId="0" fillId="0" borderId="4" xfId="0" applyNumberFormat="1" applyFont="1" applyBorder="1"/>
    <xf numFmtId="0" fontId="0" fillId="0" borderId="4" xfId="0" applyFont="1" applyBorder="1"/>
    <xf numFmtId="167" fontId="0" fillId="3" borderId="4" xfId="0" applyNumberFormat="1" applyFont="1" applyFill="1" applyBorder="1"/>
    <xf numFmtId="0" fontId="0" fillId="3" borderId="4" xfId="0" applyFont="1" applyFill="1" applyBorder="1"/>
    <xf numFmtId="165" fontId="0" fillId="0" borderId="0" xfId="0" applyNumberFormat="1" applyFont="1" applyFill="1"/>
    <xf numFmtId="5" fontId="0" fillId="0" borderId="0" xfId="0" applyNumberFormat="1" applyFont="1" applyFill="1"/>
    <xf numFmtId="37" fontId="0" fillId="0" borderId="4" xfId="0" applyNumberFormat="1" applyFont="1" applyBorder="1"/>
    <xf numFmtId="5" fontId="0" fillId="3" borderId="4" xfId="0" applyNumberFormat="1" applyFont="1" applyFill="1" applyBorder="1"/>
    <xf numFmtId="9" fontId="0" fillId="0" borderId="0" xfId="0" applyNumberFormat="1" applyFont="1" applyFill="1"/>
    <xf numFmtId="164" fontId="0" fillId="0" borderId="0" xfId="0" applyNumberFormat="1" applyFont="1" applyFill="1"/>
    <xf numFmtId="165" fontId="0" fillId="0" borderId="0" xfId="0" applyNumberFormat="1" applyFont="1"/>
    <xf numFmtId="165" fontId="3" fillId="0" borderId="0" xfId="0" applyNumberFormat="1" applyFont="1"/>
    <xf numFmtId="174" fontId="0" fillId="0" borderId="0" xfId="0" applyNumberFormat="1" applyFont="1" applyFill="1"/>
    <xf numFmtId="0" fontId="0" fillId="12" borderId="0" xfId="0" applyFill="1"/>
    <xf numFmtId="3" fontId="0" fillId="0" borderId="0" xfId="0" applyNumberFormat="1"/>
    <xf numFmtId="3" fontId="0" fillId="0" borderId="0" xfId="0" applyNumberFormat="1" applyFont="1"/>
    <xf numFmtId="3" fontId="0" fillId="0" borderId="0" xfId="1" applyNumberFormat="1" applyFont="1"/>
    <xf numFmtId="0" fontId="9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7" fontId="0" fillId="0" borderId="0" xfId="0" applyNumberForma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76" fontId="0" fillId="0" borderId="0" xfId="0" applyNumberFormat="1" applyFill="1" applyBorder="1" applyAlignment="1">
      <alignment horizontal="center"/>
    </xf>
    <xf numFmtId="176" fontId="0" fillId="5" borderId="0" xfId="0" applyNumberFormat="1" applyFill="1" applyBorder="1" applyAlignment="1">
      <alignment horizontal="center"/>
    </xf>
    <xf numFmtId="176" fontId="0" fillId="0" borderId="0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37" fontId="0" fillId="0" borderId="0" xfId="1" applyNumberFormat="1" applyFont="1" applyFill="1" applyBorder="1" applyAlignment="1">
      <alignment horizontal="center"/>
    </xf>
    <xf numFmtId="0" fontId="0" fillId="0" borderId="0" xfId="0" applyFont="1"/>
    <xf numFmtId="0" fontId="9" fillId="0" borderId="0" xfId="0" applyFont="1" applyFill="1"/>
    <xf numFmtId="0" fontId="15" fillId="0" borderId="0" xfId="0" applyFont="1"/>
    <xf numFmtId="0" fontId="0" fillId="0" borderId="0" xfId="0" applyFont="1" applyAlignment="1">
      <alignment wrapText="1"/>
    </xf>
    <xf numFmtId="0" fontId="0" fillId="0" borderId="0" xfId="0" applyFill="1" applyBorder="1" applyAlignment="1">
      <alignment horizontal="right"/>
    </xf>
    <xf numFmtId="167" fontId="0" fillId="0" borderId="0" xfId="0" applyNumberFormat="1" applyFill="1" applyBorder="1" applyAlignment="1">
      <alignment horizontal="right"/>
    </xf>
    <xf numFmtId="165" fontId="0" fillId="4" borderId="0" xfId="0" applyNumberFormat="1" applyFont="1" applyFill="1"/>
    <xf numFmtId="165" fontId="16" fillId="4" borderId="0" xfId="0" applyNumberFormat="1" applyFont="1" applyFill="1"/>
    <xf numFmtId="9" fontId="16" fillId="4" borderId="0" xfId="0" applyNumberFormat="1" applyFont="1" applyFill="1"/>
    <xf numFmtId="165" fontId="16" fillId="7" borderId="0" xfId="0" applyNumberFormat="1" applyFont="1" applyFill="1"/>
    <xf numFmtId="165" fontId="0" fillId="7" borderId="0" xfId="0" applyNumberFormat="1" applyFont="1" applyFill="1"/>
    <xf numFmtId="5" fontId="0" fillId="7" borderId="0" xfId="0" applyNumberFormat="1" applyFont="1" applyFill="1"/>
    <xf numFmtId="5" fontId="16" fillId="7" borderId="0" xfId="0" applyNumberFormat="1" applyFont="1" applyFill="1"/>
    <xf numFmtId="0" fontId="4" fillId="0" borderId="0" xfId="0" applyFont="1" applyFill="1" applyBorder="1"/>
    <xf numFmtId="10" fontId="4" fillId="0" borderId="0" xfId="2" applyNumberFormat="1" applyFont="1" applyFill="1" applyBorder="1"/>
    <xf numFmtId="5" fontId="4" fillId="0" borderId="0" xfId="0" applyNumberFormat="1" applyFont="1" applyFill="1" applyBorder="1"/>
    <xf numFmtId="9" fontId="18" fillId="4" borderId="0" xfId="0" applyNumberFormat="1" applyFont="1" applyFill="1"/>
    <xf numFmtId="5" fontId="18" fillId="7" borderId="0" xfId="0" applyNumberFormat="1" applyFont="1" applyFill="1"/>
    <xf numFmtId="9" fontId="18" fillId="7" borderId="0" xfId="0" applyNumberFormat="1" applyFont="1" applyFill="1"/>
    <xf numFmtId="165" fontId="18" fillId="7" borderId="0" xfId="0" applyNumberFormat="1" applyFont="1" applyFill="1"/>
    <xf numFmtId="9" fontId="0" fillId="7" borderId="0" xfId="0" applyNumberFormat="1" applyFont="1" applyFill="1"/>
    <xf numFmtId="9" fontId="4" fillId="0" borderId="0" xfId="2" applyFont="1" applyFill="1" applyBorder="1"/>
    <xf numFmtId="0" fontId="4" fillId="0" borderId="0" xfId="0" applyFont="1" applyFill="1"/>
  </cellXfs>
  <cellStyles count="132">
    <cellStyle name="Comma" xfId="1" builtinId="3"/>
    <cellStyle name="Currency" xfId="13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Model One:  </a:t>
            </a:r>
            <a:r>
              <a:rPr lang="en-US" sz="1400" b="0" i="0" u="none" strike="noStrike" baseline="0">
                <a:effectLst/>
              </a:rPr>
              <a:t>Projected Expenses &amp; Revenue Over Time (Average Estimate)</a:t>
            </a:r>
            <a:r>
              <a:rPr lang="en-US" sz="1400" b="0" i="0" u="none" strike="noStrike" baseline="0"/>
              <a:t> </a:t>
            </a:r>
            <a:endParaRPr lang="en-US" baseline="0"/>
          </a:p>
        </c:rich>
      </c:tx>
      <c:layout>
        <c:manualLayout>
          <c:xMode val="edge"/>
          <c:yMode val="edge"/>
          <c:x val="0.19935254490602408"/>
          <c:y val="2.39012319656479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978600588737316E-2"/>
          <c:y val="0.17439430394462718"/>
          <c:w val="0.8506081387178942"/>
          <c:h val="0.68962582167970066"/>
        </c:manualLayout>
      </c:layout>
      <c:scatterChart>
        <c:scatterStyle val="lineMarker"/>
        <c:varyColors val="0"/>
        <c:ser>
          <c:idx val="0"/>
          <c:order val="0"/>
          <c:tx>
            <c:v>Revenue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'Model-1-Trends'!$T$8:$T$67</c:f>
              <c:numCache>
                <c:formatCode>_(* #,##0_);_(* \(#,##0\);_(* "-"??_);_(@_)</c:formatCode>
                <c:ptCount val="60"/>
                <c:pt idx="0">
                  <c:v>0.74937500000000001</c:v>
                </c:pt>
                <c:pt idx="1">
                  <c:v>1.1240625</c:v>
                </c:pt>
                <c:pt idx="2">
                  <c:v>1.8734375000000005</c:v>
                </c:pt>
                <c:pt idx="3">
                  <c:v>2.9975000000000001</c:v>
                </c:pt>
                <c:pt idx="4">
                  <c:v>4.4962499999999999</c:v>
                </c:pt>
                <c:pt idx="5">
                  <c:v>5.9950000000000001</c:v>
                </c:pt>
                <c:pt idx="6">
                  <c:v>7.1637499999999985</c:v>
                </c:pt>
                <c:pt idx="7">
                  <c:v>9.3128749999999982</c:v>
                </c:pt>
                <c:pt idx="8">
                  <c:v>11.110000000000001</c:v>
                </c:pt>
                <c:pt idx="9">
                  <c:v>13.887499999999999</c:v>
                </c:pt>
                <c:pt idx="10">
                  <c:v>14.581874999999997</c:v>
                </c:pt>
                <c:pt idx="11">
                  <c:v>15.310968749999995</c:v>
                </c:pt>
                <c:pt idx="12">
                  <c:v>16.076517187499995</c:v>
                </c:pt>
                <c:pt idx="13">
                  <c:v>16.880343046874998</c:v>
                </c:pt>
                <c:pt idx="14">
                  <c:v>17.724360199218747</c:v>
                </c:pt>
                <c:pt idx="15">
                  <c:v>18.610578209179689</c:v>
                </c:pt>
                <c:pt idx="16">
                  <c:v>19.541107119638674</c:v>
                </c:pt>
                <c:pt idx="17">
                  <c:v>20.518162475620606</c:v>
                </c:pt>
                <c:pt idx="18">
                  <c:v>21.544070599401639</c:v>
                </c:pt>
                <c:pt idx="19">
                  <c:v>22.62127412937172</c:v>
                </c:pt>
                <c:pt idx="20">
                  <c:v>23.752337835840308</c:v>
                </c:pt>
                <c:pt idx="21">
                  <c:v>24.939954727632326</c:v>
                </c:pt>
                <c:pt idx="22">
                  <c:v>26.186952464013942</c:v>
                </c:pt>
                <c:pt idx="23">
                  <c:v>27.496300087214639</c:v>
                </c:pt>
                <c:pt idx="24">
                  <c:v>28.871115091575373</c:v>
                </c:pt>
                <c:pt idx="25">
                  <c:v>30.314670846154144</c:v>
                </c:pt>
                <c:pt idx="26">
                  <c:v>31.830404388461851</c:v>
                </c:pt>
                <c:pt idx="27">
                  <c:v>33.421924607884947</c:v>
                </c:pt>
                <c:pt idx="28">
                  <c:v>35.093020838279195</c:v>
                </c:pt>
                <c:pt idx="29">
                  <c:v>36.847671880193154</c:v>
                </c:pt>
                <c:pt idx="30">
                  <c:v>38.690055474202815</c:v>
                </c:pt>
                <c:pt idx="31">
                  <c:v>40.624558247912958</c:v>
                </c:pt>
                <c:pt idx="32">
                  <c:v>42.655786160308608</c:v>
                </c:pt>
                <c:pt idx="33">
                  <c:v>44.788575468324041</c:v>
                </c:pt>
                <c:pt idx="34">
                  <c:v>47.028004241740241</c:v>
                </c:pt>
                <c:pt idx="35">
                  <c:v>49.379404453827256</c:v>
                </c:pt>
                <c:pt idx="36">
                  <c:v>51.848374676518617</c:v>
                </c:pt>
                <c:pt idx="37">
                  <c:v>54.440793410344554</c:v>
                </c:pt>
                <c:pt idx="38">
                  <c:v>57.16283308086178</c:v>
                </c:pt>
                <c:pt idx="39">
                  <c:v>60.020974734904868</c:v>
                </c:pt>
                <c:pt idx="40">
                  <c:v>63.022023471650108</c:v>
                </c:pt>
                <c:pt idx="41">
                  <c:v>66.173124645232619</c:v>
                </c:pt>
                <c:pt idx="42">
                  <c:v>69.481780877494245</c:v>
                </c:pt>
                <c:pt idx="43">
                  <c:v>72.955869921368958</c:v>
                </c:pt>
                <c:pt idx="44">
                  <c:v>76.603663417437403</c:v>
                </c:pt>
                <c:pt idx="45">
                  <c:v>80.433846588309279</c:v>
                </c:pt>
                <c:pt idx="46">
                  <c:v>84.455538917724752</c:v>
                </c:pt>
                <c:pt idx="47">
                  <c:v>88.67831586361099</c:v>
                </c:pt>
                <c:pt idx="48">
                  <c:v>93.11223165679155</c:v>
                </c:pt>
                <c:pt idx="49">
                  <c:v>97.767843239631134</c:v>
                </c:pt>
                <c:pt idx="50">
                  <c:v>102.65623540161269</c:v>
                </c:pt>
                <c:pt idx="51">
                  <c:v>107.78904717169334</c:v>
                </c:pt>
                <c:pt idx="52">
                  <c:v>113.178499530278</c:v>
                </c:pt>
                <c:pt idx="53">
                  <c:v>118.8374245067919</c:v>
                </c:pt>
                <c:pt idx="54">
                  <c:v>124.77929573213149</c:v>
                </c:pt>
                <c:pt idx="55">
                  <c:v>131.01826051873809</c:v>
                </c:pt>
                <c:pt idx="56">
                  <c:v>137.56917354467501</c:v>
                </c:pt>
                <c:pt idx="57">
                  <c:v>144.44763222190875</c:v>
                </c:pt>
                <c:pt idx="58">
                  <c:v>151.67001383300419</c:v>
                </c:pt>
                <c:pt idx="59">
                  <c:v>159.25351452465441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A19-4147-BAD1-FC9CC260B2AE}"/>
            </c:ext>
          </c:extLst>
        </c:ser>
        <c:ser>
          <c:idx val="1"/>
          <c:order val="1"/>
          <c:tx>
            <c:v>Expenses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'Model-1-Trends'!$U$8:$U$67</c:f>
              <c:numCache>
                <c:formatCode>_(* #,##0_);_(* \(#,##0\);_(* "-"??_);_(@_)</c:formatCode>
                <c:ptCount val="60"/>
                <c:pt idx="0">
                  <c:v>3.0916682743926991</c:v>
                </c:pt>
                <c:pt idx="1">
                  <c:v>3.3875024115890486</c:v>
                </c:pt>
                <c:pt idx="2">
                  <c:v>3.9791706859817477</c:v>
                </c:pt>
                <c:pt idx="3">
                  <c:v>4.8666730975707964</c:v>
                </c:pt>
                <c:pt idx="4">
                  <c:v>6.0500096463561945</c:v>
                </c:pt>
                <c:pt idx="5">
                  <c:v>7.2333461951415918</c:v>
                </c:pt>
                <c:pt idx="6">
                  <c:v>8.2313317843242508</c:v>
                </c:pt>
                <c:pt idx="7">
                  <c:v>9.9507313196215268</c:v>
                </c:pt>
                <c:pt idx="8">
                  <c:v>11.472423164675885</c:v>
                </c:pt>
                <c:pt idx="9">
                  <c:v>13.715528955844853</c:v>
                </c:pt>
                <c:pt idx="10">
                  <c:v>14.276305403637094</c:v>
                </c:pt>
                <c:pt idx="11">
                  <c:v>14.86512067381895</c:v>
                </c:pt>
                <c:pt idx="12">
                  <c:v>15.483376707509898</c:v>
                </c:pt>
                <c:pt idx="13">
                  <c:v>16.132545542885392</c:v>
                </c:pt>
                <c:pt idx="14">
                  <c:v>16.814172820029665</c:v>
                </c:pt>
                <c:pt idx="15">
                  <c:v>17.529881461031149</c:v>
                </c:pt>
                <c:pt idx="16">
                  <c:v>18.281375534082706</c:v>
                </c:pt>
                <c:pt idx="17">
                  <c:v>19.070444310786844</c:v>
                </c:pt>
                <c:pt idx="18">
                  <c:v>19.898966526326184</c:v>
                </c:pt>
                <c:pt idx="19">
                  <c:v>20.768914852642496</c:v>
                </c:pt>
                <c:pt idx="20">
                  <c:v>21.682360595274623</c:v>
                </c:pt>
                <c:pt idx="21">
                  <c:v>22.641478625038353</c:v>
                </c:pt>
                <c:pt idx="22">
                  <c:v>23.648552556290269</c:v>
                </c:pt>
                <c:pt idx="23">
                  <c:v>24.705980184104785</c:v>
                </c:pt>
                <c:pt idx="24">
                  <c:v>25.816279193310024</c:v>
                </c:pt>
                <c:pt idx="25">
                  <c:v>26.982093152975526</c:v>
                </c:pt>
                <c:pt idx="26">
                  <c:v>28.206197810624303</c:v>
                </c:pt>
                <c:pt idx="27">
                  <c:v>29.49150770115552</c:v>
                </c:pt>
                <c:pt idx="28">
                  <c:v>30.841083086213299</c:v>
                </c:pt>
                <c:pt idx="29">
                  <c:v>32.258137240523965</c:v>
                </c:pt>
                <c:pt idx="30">
                  <c:v>33.746044102550158</c:v>
                </c:pt>
                <c:pt idx="31">
                  <c:v>35.308346307677674</c:v>
                </c:pt>
                <c:pt idx="32">
                  <c:v>36.948763623061559</c:v>
                </c:pt>
                <c:pt idx="33">
                  <c:v>38.671201804214633</c:v>
                </c:pt>
                <c:pt idx="34">
                  <c:v>40.479761894425366</c:v>
                </c:pt>
                <c:pt idx="35">
                  <c:v>42.378749989146641</c:v>
                </c:pt>
                <c:pt idx="36">
                  <c:v>44.372687488603972</c:v>
                </c:pt>
                <c:pt idx="37">
                  <c:v>46.466321863034175</c:v>
                </c:pt>
                <c:pt idx="38">
                  <c:v>48.664637956185885</c:v>
                </c:pt>
                <c:pt idx="39">
                  <c:v>50.972869853995178</c:v>
                </c:pt>
                <c:pt idx="40">
                  <c:v>53.396513346694931</c:v>
                </c:pt>
                <c:pt idx="41">
                  <c:v>55.94133901402968</c:v>
                </c:pt>
                <c:pt idx="42">
                  <c:v>58.613405964731157</c:v>
                </c:pt>
                <c:pt idx="43">
                  <c:v>61.419076262967721</c:v>
                </c:pt>
                <c:pt idx="44">
                  <c:v>64.365030076116113</c:v>
                </c:pt>
                <c:pt idx="45">
                  <c:v>67.458281579921916</c:v>
                </c:pt>
                <c:pt idx="46">
                  <c:v>70.706195658918006</c:v>
                </c:pt>
                <c:pt idx="47">
                  <c:v>74.116505441863922</c:v>
                </c:pt>
                <c:pt idx="48">
                  <c:v>77.697330713957115</c:v>
                </c:pt>
                <c:pt idx="49">
                  <c:v>81.457197249654982</c:v>
                </c:pt>
                <c:pt idx="50">
                  <c:v>85.40505711213774</c:v>
                </c:pt>
                <c:pt idx="51">
                  <c:v>89.550309967744624</c:v>
                </c:pt>
                <c:pt idx="52">
                  <c:v>93.902825466131873</c:v>
                </c:pt>
                <c:pt idx="53">
                  <c:v>98.472966739438448</c:v>
                </c:pt>
                <c:pt idx="54">
                  <c:v>103.27161507641037</c:v>
                </c:pt>
                <c:pt idx="55">
                  <c:v>108.31019583023091</c:v>
                </c:pt>
                <c:pt idx="56">
                  <c:v>113.60070562174246</c:v>
                </c:pt>
                <c:pt idx="57">
                  <c:v>119.15574090282959</c:v>
                </c:pt>
                <c:pt idx="58">
                  <c:v>124.98852794797108</c:v>
                </c:pt>
                <c:pt idx="59">
                  <c:v>131.11295434536964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A19-4147-BAD1-FC9CC260B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6264736"/>
        <c:axId val="1436166048"/>
      </c:scatterChart>
      <c:valAx>
        <c:axId val="1436264736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Years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166048"/>
        <c:crosses val="autoZero"/>
        <c:crossBetween val="midCat"/>
      </c:valAx>
      <c:valAx>
        <c:axId val="1436166048"/>
        <c:scaling>
          <c:orientation val="minMax"/>
          <c:max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 Million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264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5086780745789226"/>
          <c:y val="7.6244929970416875E-2"/>
          <c:w val="8.9905207955114516E-2"/>
          <c:h val="7.33338386182658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Model Two: Projected Expenses</a:t>
            </a:r>
            <a:r>
              <a:rPr lang="en-US" baseline="0"/>
              <a:t> &amp; Revenue Over Time (Average Estimate)</a:t>
            </a:r>
          </a:p>
        </c:rich>
      </c:tx>
      <c:layout>
        <c:manualLayout>
          <c:xMode val="edge"/>
          <c:yMode val="edge"/>
          <c:x val="0.20516350882112194"/>
          <c:y val="4.11629622249344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658814957658355E-2"/>
          <c:y val="0.23459005529742269"/>
          <c:w val="0.84344422572178479"/>
          <c:h val="0.63530483689538808"/>
        </c:manualLayout>
      </c:layout>
      <c:scatterChart>
        <c:scatterStyle val="lineMarker"/>
        <c:varyColors val="0"/>
        <c:ser>
          <c:idx val="0"/>
          <c:order val="0"/>
          <c:tx>
            <c:v>Revenue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'Model-2-Trends'!$D$8:$D$67</c:f>
              <c:numCache>
                <c:formatCode>_(* #,##0_);_(* \(#,##0\);_(* "-"??_);_(@_)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  <c:pt idx="13" formatCode="General">
                  <c:v>14</c:v>
                </c:pt>
                <c:pt idx="14" formatCode="General">
                  <c:v>15</c:v>
                </c:pt>
                <c:pt idx="15" formatCode="General">
                  <c:v>16</c:v>
                </c:pt>
                <c:pt idx="16" formatCode="General">
                  <c:v>17</c:v>
                </c:pt>
                <c:pt idx="17" formatCode="General">
                  <c:v>18</c:v>
                </c:pt>
                <c:pt idx="18" formatCode="General">
                  <c:v>19</c:v>
                </c:pt>
                <c:pt idx="19" formatCode="General">
                  <c:v>20</c:v>
                </c:pt>
                <c:pt idx="20" formatCode="General">
                  <c:v>21</c:v>
                </c:pt>
                <c:pt idx="21" formatCode="General">
                  <c:v>22</c:v>
                </c:pt>
                <c:pt idx="22" formatCode="General">
                  <c:v>23</c:v>
                </c:pt>
                <c:pt idx="23" formatCode="General">
                  <c:v>24</c:v>
                </c:pt>
                <c:pt idx="24" formatCode="General">
                  <c:v>25</c:v>
                </c:pt>
                <c:pt idx="25" formatCode="General">
                  <c:v>26</c:v>
                </c:pt>
                <c:pt idx="26" formatCode="General">
                  <c:v>27</c:v>
                </c:pt>
                <c:pt idx="27" formatCode="General">
                  <c:v>28</c:v>
                </c:pt>
                <c:pt idx="28" formatCode="General">
                  <c:v>29</c:v>
                </c:pt>
                <c:pt idx="29" formatCode="General">
                  <c:v>30</c:v>
                </c:pt>
                <c:pt idx="30" formatCode="General">
                  <c:v>31</c:v>
                </c:pt>
                <c:pt idx="31" formatCode="General">
                  <c:v>32</c:v>
                </c:pt>
                <c:pt idx="32" formatCode="General">
                  <c:v>33</c:v>
                </c:pt>
                <c:pt idx="33" formatCode="General">
                  <c:v>34</c:v>
                </c:pt>
                <c:pt idx="34" formatCode="General">
                  <c:v>35</c:v>
                </c:pt>
                <c:pt idx="35" formatCode="General">
                  <c:v>36</c:v>
                </c:pt>
                <c:pt idx="36" formatCode="General">
                  <c:v>37</c:v>
                </c:pt>
                <c:pt idx="37" formatCode="General">
                  <c:v>38</c:v>
                </c:pt>
                <c:pt idx="38" formatCode="General">
                  <c:v>39</c:v>
                </c:pt>
                <c:pt idx="39" formatCode="General">
                  <c:v>40</c:v>
                </c:pt>
                <c:pt idx="40" formatCode="General">
                  <c:v>41</c:v>
                </c:pt>
                <c:pt idx="41" formatCode="General">
                  <c:v>42</c:v>
                </c:pt>
                <c:pt idx="42" formatCode="General">
                  <c:v>43</c:v>
                </c:pt>
                <c:pt idx="43" formatCode="General">
                  <c:v>44</c:v>
                </c:pt>
                <c:pt idx="44" formatCode="General">
                  <c:v>45</c:v>
                </c:pt>
                <c:pt idx="45" formatCode="General">
                  <c:v>46</c:v>
                </c:pt>
                <c:pt idx="46" formatCode="General">
                  <c:v>47</c:v>
                </c:pt>
                <c:pt idx="47" formatCode="General">
                  <c:v>48</c:v>
                </c:pt>
                <c:pt idx="48" formatCode="General">
                  <c:v>49</c:v>
                </c:pt>
                <c:pt idx="49" formatCode="General">
                  <c:v>50</c:v>
                </c:pt>
                <c:pt idx="50" formatCode="General">
                  <c:v>51</c:v>
                </c:pt>
                <c:pt idx="51" formatCode="General">
                  <c:v>52</c:v>
                </c:pt>
                <c:pt idx="52" formatCode="General">
                  <c:v>53</c:v>
                </c:pt>
                <c:pt idx="53" formatCode="General">
                  <c:v>54</c:v>
                </c:pt>
                <c:pt idx="54" formatCode="General">
                  <c:v>55</c:v>
                </c:pt>
                <c:pt idx="55" formatCode="General">
                  <c:v>56</c:v>
                </c:pt>
                <c:pt idx="56" formatCode="General">
                  <c:v>57</c:v>
                </c:pt>
                <c:pt idx="57" formatCode="General">
                  <c:v>58</c:v>
                </c:pt>
                <c:pt idx="58" formatCode="General">
                  <c:v>59</c:v>
                </c:pt>
                <c:pt idx="59" formatCode="General">
                  <c:v>60</c:v>
                </c:pt>
              </c:numCache>
            </c:numRef>
          </c:xVal>
          <c:yVal>
            <c:numRef>
              <c:f>'Model-2-Trends'!$T$8:$T$67</c:f>
              <c:numCache>
                <c:formatCode>_(* #,##0_);_(* \(#,##0\);_(* "-"??_);_(@_)</c:formatCode>
                <c:ptCount val="60"/>
                <c:pt idx="0">
                  <c:v>2.0724999999999998</c:v>
                </c:pt>
                <c:pt idx="1">
                  <c:v>2.8087499999999999</c:v>
                </c:pt>
                <c:pt idx="2">
                  <c:v>4.28125</c:v>
                </c:pt>
                <c:pt idx="3">
                  <c:v>6.49</c:v>
                </c:pt>
                <c:pt idx="4">
                  <c:v>9.4350000000000005</c:v>
                </c:pt>
                <c:pt idx="5">
                  <c:v>12.38</c:v>
                </c:pt>
                <c:pt idx="6">
                  <c:v>15.16</c:v>
                </c:pt>
                <c:pt idx="7">
                  <c:v>19.527999999999999</c:v>
                </c:pt>
                <c:pt idx="8">
                  <c:v>23.72</c:v>
                </c:pt>
                <c:pt idx="9">
                  <c:v>29.5</c:v>
                </c:pt>
                <c:pt idx="10">
                  <c:v>30.945</c:v>
                </c:pt>
                <c:pt idx="11">
                  <c:v>32.462250000000004</c:v>
                </c:pt>
                <c:pt idx="12">
                  <c:v>34.055362500000001</c:v>
                </c:pt>
                <c:pt idx="13">
                  <c:v>35.728130625000006</c:v>
                </c:pt>
                <c:pt idx="14">
                  <c:v>37.484537156250013</c:v>
                </c:pt>
                <c:pt idx="15">
                  <c:v>39.328764014062514</c:v>
                </c:pt>
                <c:pt idx="16">
                  <c:v>41.265202214765637</c:v>
                </c:pt>
                <c:pt idx="17">
                  <c:v>43.298462325503927</c:v>
                </c:pt>
                <c:pt idx="18">
                  <c:v>45.433385441779123</c:v>
                </c:pt>
                <c:pt idx="19">
                  <c:v>47.675054713868079</c:v>
                </c:pt>
                <c:pt idx="20">
                  <c:v>50.028807449561484</c:v>
                </c:pt>
                <c:pt idx="21">
                  <c:v>52.500247822039562</c:v>
                </c:pt>
                <c:pt idx="22">
                  <c:v>55.095260213141543</c:v>
                </c:pt>
                <c:pt idx="23">
                  <c:v>57.820023223798614</c:v>
                </c:pt>
                <c:pt idx="24">
                  <c:v>60.681024384988554</c:v>
                </c:pt>
                <c:pt idx="25">
                  <c:v>63.68507560423798</c:v>
                </c:pt>
                <c:pt idx="26">
                  <c:v>66.839329384449883</c:v>
                </c:pt>
                <c:pt idx="27">
                  <c:v>70.15129585367238</c:v>
                </c:pt>
                <c:pt idx="28">
                  <c:v>73.628860646356003</c:v>
                </c:pt>
                <c:pt idx="29">
                  <c:v>77.280303678673789</c:v>
                </c:pt>
                <c:pt idx="30">
                  <c:v>81.11431886260749</c:v>
                </c:pt>
                <c:pt idx="31">
                  <c:v>85.140034805737884</c:v>
                </c:pt>
                <c:pt idx="32">
                  <c:v>89.367036546024764</c:v>
                </c:pt>
                <c:pt idx="33">
                  <c:v>93.805388373326011</c:v>
                </c:pt>
                <c:pt idx="34">
                  <c:v>98.465657791992314</c:v>
                </c:pt>
                <c:pt idx="35">
                  <c:v>103.35894068159193</c:v>
                </c:pt>
                <c:pt idx="36">
                  <c:v>108.49688771567153</c:v>
                </c:pt>
                <c:pt idx="37">
                  <c:v>113.89173210145512</c:v>
                </c:pt>
                <c:pt idx="38">
                  <c:v>119.55631870652786</c:v>
                </c:pt>
                <c:pt idx="39">
                  <c:v>125.50413464185425</c:v>
                </c:pt>
                <c:pt idx="40">
                  <c:v>131.74934137394698</c:v>
                </c:pt>
                <c:pt idx="41">
                  <c:v>138.3068084426443</c:v>
                </c:pt>
                <c:pt idx="42">
                  <c:v>145.19214886477653</c:v>
                </c:pt>
                <c:pt idx="43">
                  <c:v>152.42175630801535</c:v>
                </c:pt>
                <c:pt idx="44">
                  <c:v>160.01284412341613</c:v>
                </c:pt>
                <c:pt idx="45">
                  <c:v>167.98348632958695</c:v>
                </c:pt>
                <c:pt idx="46">
                  <c:v>176.35266064606631</c:v>
                </c:pt>
                <c:pt idx="47">
                  <c:v>185.14029367836963</c:v>
                </c:pt>
                <c:pt idx="48">
                  <c:v>194.36730836228813</c:v>
                </c:pt>
                <c:pt idx="49">
                  <c:v>204.05567378040254</c:v>
                </c:pt>
                <c:pt idx="50">
                  <c:v>214.22845746942269</c:v>
                </c:pt>
                <c:pt idx="51">
                  <c:v>224.90988034289384</c:v>
                </c:pt>
                <c:pt idx="52">
                  <c:v>236.12537436003856</c:v>
                </c:pt>
                <c:pt idx="53">
                  <c:v>247.90164307804048</c:v>
                </c:pt>
                <c:pt idx="54">
                  <c:v>260.26672523194247</c:v>
                </c:pt>
                <c:pt idx="55">
                  <c:v>273.25006149353965</c:v>
                </c:pt>
                <c:pt idx="56">
                  <c:v>286.88256456821671</c:v>
                </c:pt>
                <c:pt idx="57">
                  <c:v>301.19669279662753</c:v>
                </c:pt>
                <c:pt idx="58">
                  <c:v>316.22652743645892</c:v>
                </c:pt>
                <c:pt idx="59">
                  <c:v>332.00785380828182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E2-466C-BBC9-1B6801CEAF8F}"/>
            </c:ext>
          </c:extLst>
        </c:ser>
        <c:ser>
          <c:idx val="1"/>
          <c:order val="1"/>
          <c:tx>
            <c:v>Expenses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'Model-2-Trends'!$D$8:$D$67</c:f>
              <c:numCache>
                <c:formatCode>_(* #,##0_);_(* \(#,##0\);_(* "-"??_);_(@_)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 formatCode="General">
                  <c:v>11</c:v>
                </c:pt>
                <c:pt idx="11" formatCode="General">
                  <c:v>12</c:v>
                </c:pt>
                <c:pt idx="12" formatCode="General">
                  <c:v>13</c:v>
                </c:pt>
                <c:pt idx="13" formatCode="General">
                  <c:v>14</c:v>
                </c:pt>
                <c:pt idx="14" formatCode="General">
                  <c:v>15</c:v>
                </c:pt>
                <c:pt idx="15" formatCode="General">
                  <c:v>16</c:v>
                </c:pt>
                <c:pt idx="16" formatCode="General">
                  <c:v>17</c:v>
                </c:pt>
                <c:pt idx="17" formatCode="General">
                  <c:v>18</c:v>
                </c:pt>
                <c:pt idx="18" formatCode="General">
                  <c:v>19</c:v>
                </c:pt>
                <c:pt idx="19" formatCode="General">
                  <c:v>20</c:v>
                </c:pt>
                <c:pt idx="20" formatCode="General">
                  <c:v>21</c:v>
                </c:pt>
                <c:pt idx="21" formatCode="General">
                  <c:v>22</c:v>
                </c:pt>
                <c:pt idx="22" formatCode="General">
                  <c:v>23</c:v>
                </c:pt>
                <c:pt idx="23" formatCode="General">
                  <c:v>24</c:v>
                </c:pt>
                <c:pt idx="24" formatCode="General">
                  <c:v>25</c:v>
                </c:pt>
                <c:pt idx="25" formatCode="General">
                  <c:v>26</c:v>
                </c:pt>
                <c:pt idx="26" formatCode="General">
                  <c:v>27</c:v>
                </c:pt>
                <c:pt idx="27" formatCode="General">
                  <c:v>28</c:v>
                </c:pt>
                <c:pt idx="28" formatCode="General">
                  <c:v>29</c:v>
                </c:pt>
                <c:pt idx="29" formatCode="General">
                  <c:v>30</c:v>
                </c:pt>
                <c:pt idx="30" formatCode="General">
                  <c:v>31</c:v>
                </c:pt>
                <c:pt idx="31" formatCode="General">
                  <c:v>32</c:v>
                </c:pt>
                <c:pt idx="32" formatCode="General">
                  <c:v>33</c:v>
                </c:pt>
                <c:pt idx="33" formatCode="General">
                  <c:v>34</c:v>
                </c:pt>
                <c:pt idx="34" formatCode="General">
                  <c:v>35</c:v>
                </c:pt>
                <c:pt idx="35" formatCode="General">
                  <c:v>36</c:v>
                </c:pt>
                <c:pt idx="36" formatCode="General">
                  <c:v>37</c:v>
                </c:pt>
                <c:pt idx="37" formatCode="General">
                  <c:v>38</c:v>
                </c:pt>
                <c:pt idx="38" formatCode="General">
                  <c:v>39</c:v>
                </c:pt>
                <c:pt idx="39" formatCode="General">
                  <c:v>40</c:v>
                </c:pt>
                <c:pt idx="40" formatCode="General">
                  <c:v>41</c:v>
                </c:pt>
                <c:pt idx="41" formatCode="General">
                  <c:v>42</c:v>
                </c:pt>
                <c:pt idx="42" formatCode="General">
                  <c:v>43</c:v>
                </c:pt>
                <c:pt idx="43" formatCode="General">
                  <c:v>44</c:v>
                </c:pt>
                <c:pt idx="44" formatCode="General">
                  <c:v>45</c:v>
                </c:pt>
                <c:pt idx="45" formatCode="General">
                  <c:v>46</c:v>
                </c:pt>
                <c:pt idx="46" formatCode="General">
                  <c:v>47</c:v>
                </c:pt>
                <c:pt idx="47" formatCode="General">
                  <c:v>48</c:v>
                </c:pt>
                <c:pt idx="48" formatCode="General">
                  <c:v>49</c:v>
                </c:pt>
                <c:pt idx="49" formatCode="General">
                  <c:v>50</c:v>
                </c:pt>
                <c:pt idx="50" formatCode="General">
                  <c:v>51</c:v>
                </c:pt>
                <c:pt idx="51" formatCode="General">
                  <c:v>52</c:v>
                </c:pt>
                <c:pt idx="52" formatCode="General">
                  <c:v>53</c:v>
                </c:pt>
                <c:pt idx="53" formatCode="General">
                  <c:v>54</c:v>
                </c:pt>
                <c:pt idx="54" formatCode="General">
                  <c:v>55</c:v>
                </c:pt>
                <c:pt idx="55" formatCode="General">
                  <c:v>56</c:v>
                </c:pt>
                <c:pt idx="56" formatCode="General">
                  <c:v>57</c:v>
                </c:pt>
                <c:pt idx="57" formatCode="General">
                  <c:v>58</c:v>
                </c:pt>
                <c:pt idx="58" formatCode="General">
                  <c:v>59</c:v>
                </c:pt>
                <c:pt idx="59" formatCode="General">
                  <c:v>60</c:v>
                </c:pt>
              </c:numCache>
            </c:numRef>
          </c:xVal>
          <c:yVal>
            <c:numRef>
              <c:f>'Model-2-Trends'!$U$8:$U$67</c:f>
              <c:numCache>
                <c:formatCode>_(* #,##0_);_(* \(#,##0\);_(* "-"??_);_(@_)</c:formatCode>
                <c:ptCount val="60"/>
                <c:pt idx="0">
                  <c:v>62.84</c:v>
                </c:pt>
                <c:pt idx="1">
                  <c:v>63.010000000000005</c:v>
                </c:pt>
                <c:pt idx="2">
                  <c:v>63.35</c:v>
                </c:pt>
                <c:pt idx="3">
                  <c:v>63.86</c:v>
                </c:pt>
                <c:pt idx="4">
                  <c:v>64.540000000000006</c:v>
                </c:pt>
                <c:pt idx="5">
                  <c:v>65.22</c:v>
                </c:pt>
                <c:pt idx="6">
                  <c:v>65.858750000000001</c:v>
                </c:pt>
                <c:pt idx="7">
                  <c:v>66.866375000000005</c:v>
                </c:pt>
                <c:pt idx="8">
                  <c:v>67.83</c:v>
                </c:pt>
                <c:pt idx="9">
                  <c:v>69.162499999999994</c:v>
                </c:pt>
                <c:pt idx="10">
                  <c:v>69.495625000000004</c:v>
                </c:pt>
                <c:pt idx="11">
                  <c:v>69.845406249999996</c:v>
                </c:pt>
                <c:pt idx="12">
                  <c:v>70.212676562500008</c:v>
                </c:pt>
                <c:pt idx="13">
                  <c:v>70.598310390625002</c:v>
                </c:pt>
                <c:pt idx="14">
                  <c:v>71.00322591015626</c:v>
                </c:pt>
                <c:pt idx="15">
                  <c:v>71.428387205664066</c:v>
                </c:pt>
                <c:pt idx="16">
                  <c:v>71.874806565947267</c:v>
                </c:pt>
                <c:pt idx="17">
                  <c:v>72.343546894244639</c:v>
                </c:pt>
                <c:pt idx="18">
                  <c:v>72.835724238956871</c:v>
                </c:pt>
                <c:pt idx="19">
                  <c:v>73.352510450904703</c:v>
                </c:pt>
                <c:pt idx="20">
                  <c:v>73.895135973449953</c:v>
                </c:pt>
                <c:pt idx="21">
                  <c:v>74.46489277212244</c:v>
                </c:pt>
                <c:pt idx="22">
                  <c:v>75.063137410728558</c:v>
                </c:pt>
                <c:pt idx="23">
                  <c:v>75.691294281264987</c:v>
                </c:pt>
                <c:pt idx="24">
                  <c:v>76.350858995328252</c:v>
                </c:pt>
                <c:pt idx="25">
                  <c:v>77.043401945094658</c:v>
                </c:pt>
                <c:pt idx="26">
                  <c:v>77.770572042349386</c:v>
                </c:pt>
                <c:pt idx="27">
                  <c:v>78.534100644466861</c:v>
                </c:pt>
                <c:pt idx="28">
                  <c:v>79.3358056766902</c:v>
                </c:pt>
                <c:pt idx="29">
                  <c:v>80.177595960524712</c:v>
                </c:pt>
                <c:pt idx="30">
                  <c:v>81.061475758550955</c:v>
                </c:pt>
                <c:pt idx="31">
                  <c:v>81.9895495464785</c:v>
                </c:pt>
                <c:pt idx="32">
                  <c:v>82.96402702380243</c:v>
                </c:pt>
                <c:pt idx="33">
                  <c:v>83.987228374992554</c:v>
                </c:pt>
                <c:pt idx="34">
                  <c:v>85.061589793742172</c:v>
                </c:pt>
                <c:pt idx="35">
                  <c:v>86.189669283429282</c:v>
                </c:pt>
                <c:pt idx="36">
                  <c:v>87.37415274760076</c:v>
                </c:pt>
                <c:pt idx="37">
                  <c:v>88.617860384980787</c:v>
                </c:pt>
                <c:pt idx="38">
                  <c:v>89.923753404229828</c:v>
                </c:pt>
                <c:pt idx="39">
                  <c:v>91.294941074441311</c:v>
                </c:pt>
                <c:pt idx="40">
                  <c:v>92.734688128163384</c:v>
                </c:pt>
                <c:pt idx="41">
                  <c:v>94.246422534571551</c:v>
                </c:pt>
                <c:pt idx="42">
                  <c:v>95.833743661300133</c:v>
                </c:pt>
                <c:pt idx="43">
                  <c:v>97.500430844365141</c:v>
                </c:pt>
                <c:pt idx="44">
                  <c:v>99.25045238658339</c:v>
                </c:pt>
                <c:pt idx="45">
                  <c:v>101.08797500591257</c:v>
                </c:pt>
                <c:pt idx="46">
                  <c:v>103.0173737562082</c:v>
                </c:pt>
                <c:pt idx="47">
                  <c:v>105.0432424440186</c:v>
                </c:pt>
                <c:pt idx="48">
                  <c:v>107.17040456621955</c:v>
                </c:pt>
                <c:pt idx="49">
                  <c:v>109.40392479453052</c:v>
                </c:pt>
                <c:pt idx="50">
                  <c:v>111.74912103425706</c:v>
                </c:pt>
                <c:pt idx="51">
                  <c:v>114.21157708596991</c:v>
                </c:pt>
                <c:pt idx="52">
                  <c:v>116.79715594026841</c:v>
                </c:pt>
                <c:pt idx="53">
                  <c:v>119.51201373728182</c:v>
                </c:pt>
                <c:pt idx="54">
                  <c:v>122.36261442414592</c:v>
                </c:pt>
                <c:pt idx="55">
                  <c:v>125.35574514535321</c:v>
                </c:pt>
                <c:pt idx="56">
                  <c:v>128.49853240262087</c:v>
                </c:pt>
                <c:pt idx="57">
                  <c:v>131.79845902275193</c:v>
                </c:pt>
                <c:pt idx="58">
                  <c:v>135.26338197388952</c:v>
                </c:pt>
                <c:pt idx="59">
                  <c:v>138.901551072584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5E2-466C-BBC9-1B6801CEA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6264736"/>
        <c:axId val="1436166048"/>
      </c:scatterChart>
      <c:valAx>
        <c:axId val="1436264736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Years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166048"/>
        <c:crosses val="autoZero"/>
        <c:crossBetween val="midCat"/>
      </c:valAx>
      <c:valAx>
        <c:axId val="1436166048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 Million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264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670603428342068"/>
          <c:y val="0.12547033692073878"/>
          <c:w val="0.15414199828102981"/>
          <c:h val="7.1226724263907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Model Three:  </a:t>
            </a:r>
            <a:r>
              <a:rPr lang="en-US" sz="1400" b="0" i="0" u="none" strike="noStrike" baseline="0">
                <a:effectLst/>
              </a:rPr>
              <a:t>Projected Expenses &amp; Revenue Over Time (Average Estimate)</a:t>
            </a:r>
            <a:r>
              <a:rPr lang="en-US" sz="1400" b="0" i="0" u="none" strike="noStrike" baseline="0"/>
              <a:t> </a:t>
            </a:r>
            <a:r>
              <a:rPr lang="en-US" baseline="0"/>
              <a:t> </a:t>
            </a:r>
          </a:p>
        </c:rich>
      </c:tx>
      <c:layout>
        <c:manualLayout>
          <c:xMode val="edge"/>
          <c:yMode val="edge"/>
          <c:x val="0.18038279090209672"/>
          <c:y val="4.54008562400819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60464764565952E-2"/>
          <c:y val="0.20827552858824747"/>
          <c:w val="0.86688789145665923"/>
          <c:h val="0.66819256283933925"/>
        </c:manualLayout>
      </c:layout>
      <c:scatterChart>
        <c:scatterStyle val="lineMarker"/>
        <c:varyColors val="0"/>
        <c:ser>
          <c:idx val="0"/>
          <c:order val="0"/>
          <c:tx>
            <c:v>Revenue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'Model-3-Trends'!$D$8:$D$67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'Model-3-Trends'!$T$8:$T$67</c:f>
              <c:numCache>
                <c:formatCode>#,##0</c:formatCode>
                <c:ptCount val="60"/>
                <c:pt idx="0">
                  <c:v>1.7893750000000002</c:v>
                </c:pt>
                <c:pt idx="1">
                  <c:v>2.3840624999999998</c:v>
                </c:pt>
                <c:pt idx="2">
                  <c:v>3.5734374999999998</c:v>
                </c:pt>
                <c:pt idx="3">
                  <c:v>5.3574999999999999</c:v>
                </c:pt>
                <c:pt idx="4">
                  <c:v>7.7362500000000001</c:v>
                </c:pt>
                <c:pt idx="5">
                  <c:v>10.115</c:v>
                </c:pt>
                <c:pt idx="6">
                  <c:v>12.328750000000001</c:v>
                </c:pt>
                <c:pt idx="7">
                  <c:v>15.847375</c:v>
                </c:pt>
                <c:pt idx="8">
                  <c:v>19.189999999999998</c:v>
                </c:pt>
                <c:pt idx="9">
                  <c:v>23.837499999999995</c:v>
                </c:pt>
                <c:pt idx="10">
                  <c:v>24.999375000000001</c:v>
                </c:pt>
                <c:pt idx="11">
                  <c:v>26.21934375</c:v>
                </c:pt>
                <c:pt idx="12">
                  <c:v>27.500310937500004</c:v>
                </c:pt>
                <c:pt idx="13">
                  <c:v>28.845326484375008</c:v>
                </c:pt>
                <c:pt idx="14">
                  <c:v>30.257592808593756</c:v>
                </c:pt>
                <c:pt idx="15">
                  <c:v>31.74047244902345</c:v>
                </c:pt>
                <c:pt idx="16">
                  <c:v>33.297496071474619</c:v>
                </c:pt>
                <c:pt idx="17">
                  <c:v>34.932370875048356</c:v>
                </c:pt>
                <c:pt idx="18">
                  <c:v>36.648989418800774</c:v>
                </c:pt>
                <c:pt idx="19">
                  <c:v>38.451438889740814</c:v>
                </c:pt>
                <c:pt idx="20">
                  <c:v>40.344010834227859</c:v>
                </c:pt>
                <c:pt idx="21">
                  <c:v>42.331211375939247</c:v>
                </c:pt>
                <c:pt idx="22">
                  <c:v>44.417771944736216</c:v>
                </c:pt>
                <c:pt idx="23">
                  <c:v>46.608660541973023</c:v>
                </c:pt>
                <c:pt idx="24">
                  <c:v>48.909093569071679</c:v>
                </c:pt>
                <c:pt idx="25">
                  <c:v>51.324548247525257</c:v>
                </c:pt>
                <c:pt idx="26">
                  <c:v>53.86077565990152</c:v>
                </c:pt>
                <c:pt idx="27">
                  <c:v>56.523814442896601</c:v>
                </c:pt>
                <c:pt idx="28">
                  <c:v>59.320005165041437</c:v>
                </c:pt>
                <c:pt idx="29">
                  <c:v>62.256005423293509</c:v>
                </c:pt>
                <c:pt idx="30">
                  <c:v>65.338805694458188</c:v>
                </c:pt>
                <c:pt idx="31">
                  <c:v>68.575745979181107</c:v>
                </c:pt>
                <c:pt idx="32">
                  <c:v>71.974533278140157</c:v>
                </c:pt>
                <c:pt idx="33">
                  <c:v>75.543259942047172</c:v>
                </c:pt>
                <c:pt idx="34">
                  <c:v>79.290422939149522</c:v>
                </c:pt>
                <c:pt idx="35">
                  <c:v>83.224944086107001</c:v>
                </c:pt>
                <c:pt idx="36">
                  <c:v>87.356191290412369</c:v>
                </c:pt>
                <c:pt idx="37">
                  <c:v>91.694000854932995</c:v>
                </c:pt>
                <c:pt idx="38">
                  <c:v>96.248700897679626</c:v>
                </c:pt>
                <c:pt idx="39">
                  <c:v>101.03113594256361</c:v>
                </c:pt>
                <c:pt idx="40">
                  <c:v>106.05269273969178</c:v>
                </c:pt>
                <c:pt idx="41">
                  <c:v>111.32532737667637</c:v>
                </c:pt>
                <c:pt idx="42">
                  <c:v>116.86159374551019</c:v>
                </c:pt>
                <c:pt idx="43">
                  <c:v>122.6746734327857</c:v>
                </c:pt>
                <c:pt idx="44">
                  <c:v>128.77840710442499</c:v>
                </c:pt>
                <c:pt idx="45">
                  <c:v>135.18732745964627</c:v>
                </c:pt>
                <c:pt idx="46">
                  <c:v>141.9166938326286</c:v>
                </c:pt>
                <c:pt idx="47">
                  <c:v>148.98252852426</c:v>
                </c:pt>
                <c:pt idx="48">
                  <c:v>156.40165495047302</c:v>
                </c:pt>
                <c:pt idx="49">
                  <c:v>164.1917376979967</c:v>
                </c:pt>
                <c:pt idx="50">
                  <c:v>172.37132458289653</c:v>
                </c:pt>
                <c:pt idx="51">
                  <c:v>180.95989081204135</c:v>
                </c:pt>
                <c:pt idx="52">
                  <c:v>189.97788535264345</c:v>
                </c:pt>
                <c:pt idx="53">
                  <c:v>199.44677962027561</c:v>
                </c:pt>
                <c:pt idx="54">
                  <c:v>209.3891186012894</c:v>
                </c:pt>
                <c:pt idx="55">
                  <c:v>219.82857453135389</c:v>
                </c:pt>
                <c:pt idx="56">
                  <c:v>230.79000325792157</c:v>
                </c:pt>
                <c:pt idx="57">
                  <c:v>242.2995034208177</c:v>
                </c:pt>
                <c:pt idx="58">
                  <c:v>254.38447859185857</c:v>
                </c:pt>
                <c:pt idx="59">
                  <c:v>267.07370252145154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7FD-454E-B2B0-B7736C5495E7}"/>
            </c:ext>
          </c:extLst>
        </c:ser>
        <c:ser>
          <c:idx val="1"/>
          <c:order val="1"/>
          <c:tx>
            <c:v>Expenses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'Model-3-Trends'!$D$8:$D$67</c:f>
              <c:numCache>
                <c:formatCode>General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xVal>
          <c:yVal>
            <c:numRef>
              <c:f>'Model-3-Trends'!$U$8:$U$67</c:f>
              <c:numCache>
                <c:formatCode>#,##0</c:formatCode>
                <c:ptCount val="60"/>
                <c:pt idx="0">
                  <c:v>63.338802887196344</c:v>
                </c:pt>
                <c:pt idx="1">
                  <c:v>63.758204330794527</c:v>
                </c:pt>
                <c:pt idx="2">
                  <c:v>64.597007217990878</c:v>
                </c:pt>
                <c:pt idx="3">
                  <c:v>65.855211548785391</c:v>
                </c:pt>
                <c:pt idx="4">
                  <c:v>67.532817323178094</c:v>
                </c:pt>
                <c:pt idx="5">
                  <c:v>69.210423097570782</c:v>
                </c:pt>
                <c:pt idx="6">
                  <c:v>70.795353392162127</c:v>
                </c:pt>
                <c:pt idx="7">
                  <c:v>73.283959409810763</c:v>
                </c:pt>
                <c:pt idx="8">
                  <c:v>75.673711582337944</c:v>
                </c:pt>
                <c:pt idx="9">
                  <c:v>78.967139477922416</c:v>
                </c:pt>
                <c:pt idx="10">
                  <c:v>79.790496451818541</c:v>
                </c:pt>
                <c:pt idx="11">
                  <c:v>80.655021274409478</c:v>
                </c:pt>
                <c:pt idx="12">
                  <c:v>81.562772338129946</c:v>
                </c:pt>
                <c:pt idx="13">
                  <c:v>82.515910955036446</c:v>
                </c:pt>
                <c:pt idx="14">
                  <c:v>83.516706502788281</c:v>
                </c:pt>
                <c:pt idx="15">
                  <c:v>84.567541827927684</c:v>
                </c:pt>
                <c:pt idx="16">
                  <c:v>85.670918919324066</c:v>
                </c:pt>
                <c:pt idx="17">
                  <c:v>86.829464865290277</c:v>
                </c:pt>
                <c:pt idx="18">
                  <c:v>88.045938108554793</c:v>
                </c:pt>
                <c:pt idx="19">
                  <c:v>89.32323501398254</c:v>
                </c:pt>
                <c:pt idx="20">
                  <c:v>90.664396764681655</c:v>
                </c:pt>
                <c:pt idx="21">
                  <c:v>92.072616602915744</c:v>
                </c:pt>
                <c:pt idx="22">
                  <c:v>93.551247433061533</c:v>
                </c:pt>
                <c:pt idx="23">
                  <c:v>95.103809804714615</c:v>
                </c:pt>
                <c:pt idx="24">
                  <c:v>96.734000294950334</c:v>
                </c:pt>
                <c:pt idx="25">
                  <c:v>98.445700309697855</c:v>
                </c:pt>
                <c:pt idx="26">
                  <c:v>100.24298532518276</c:v>
                </c:pt>
                <c:pt idx="27">
                  <c:v>102.13013459144189</c:v>
                </c:pt>
                <c:pt idx="28">
                  <c:v>104.11164132101399</c:v>
                </c:pt>
                <c:pt idx="29">
                  <c:v>106.1922233870647</c:v>
                </c:pt>
                <c:pt idx="30">
                  <c:v>108.37683455641793</c:v>
                </c:pt>
                <c:pt idx="31">
                  <c:v>110.67067628423882</c:v>
                </c:pt>
                <c:pt idx="32">
                  <c:v>113.07921009845077</c:v>
                </c:pt>
                <c:pt idx="33">
                  <c:v>115.60817060337331</c:v>
                </c:pt>
                <c:pt idx="34">
                  <c:v>118.26357913354198</c:v>
                </c:pt>
                <c:pt idx="35">
                  <c:v>121.05175809021908</c:v>
                </c:pt>
                <c:pt idx="36">
                  <c:v>123.97934599473004</c:v>
                </c:pt>
                <c:pt idx="37">
                  <c:v>127.05331329446655</c:v>
                </c:pt>
                <c:pt idx="38">
                  <c:v>130.28097895918987</c:v>
                </c:pt>
                <c:pt idx="39">
                  <c:v>133.67002790714935</c:v>
                </c:pt>
                <c:pt idx="40">
                  <c:v>137.22852930250681</c:v>
                </c:pt>
                <c:pt idx="41">
                  <c:v>140.96495576763215</c:v>
                </c:pt>
                <c:pt idx="42">
                  <c:v>144.88820355601376</c:v>
                </c:pt>
                <c:pt idx="43">
                  <c:v>149.00761373381445</c:v>
                </c:pt>
                <c:pt idx="44">
                  <c:v>153.3329944205052</c:v>
                </c:pt>
                <c:pt idx="45">
                  <c:v>157.87464414153044</c:v>
                </c:pt>
                <c:pt idx="46">
                  <c:v>162.64337634860698</c:v>
                </c:pt>
                <c:pt idx="47">
                  <c:v>167.65054516603732</c:v>
                </c:pt>
                <c:pt idx="48">
                  <c:v>172.9080724243392</c:v>
                </c:pt>
                <c:pt idx="49">
                  <c:v>178.42847604555618</c:v>
                </c:pt>
                <c:pt idx="50">
                  <c:v>184.224899847834</c:v>
                </c:pt>
                <c:pt idx="51">
                  <c:v>190.31114484022572</c:v>
                </c:pt>
                <c:pt idx="52">
                  <c:v>196.70170208223698</c:v>
                </c:pt>
                <c:pt idx="53">
                  <c:v>203.41178718634882</c:v>
                </c:pt>
                <c:pt idx="54">
                  <c:v>210.45737654566628</c:v>
                </c:pt>
                <c:pt idx="55">
                  <c:v>217.85524537294961</c:v>
                </c:pt>
                <c:pt idx="56">
                  <c:v>225.6230076415971</c:v>
                </c:pt>
                <c:pt idx="57">
                  <c:v>233.77915802367698</c:v>
                </c:pt>
                <c:pt idx="58">
                  <c:v>242.3431159248608</c:v>
                </c:pt>
                <c:pt idx="59">
                  <c:v>251.33527172110388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7FD-454E-B2B0-B7736C549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6264736"/>
        <c:axId val="1436166048"/>
      </c:scatterChart>
      <c:valAx>
        <c:axId val="1436264736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# of Years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166048"/>
        <c:crosses val="autoZero"/>
        <c:crossBetween val="midCat"/>
      </c:valAx>
      <c:valAx>
        <c:axId val="143616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$ Million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6264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0626204075056096"/>
          <c:y val="0.11291738824518158"/>
          <c:w val="0.12784365598925584"/>
          <c:h val="6.69587880908060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13856</xdr:colOff>
      <xdr:row>68</xdr:row>
      <xdr:rowOff>43295</xdr:rowOff>
    </xdr:from>
    <xdr:to>
      <xdr:col>10</xdr:col>
      <xdr:colOff>620568</xdr:colOff>
      <xdr:row>97</xdr:row>
      <xdr:rowOff>28864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E953F46-75C3-2D40-85E8-49E8281072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16809</xdr:colOff>
      <xdr:row>68</xdr:row>
      <xdr:rowOff>1068</xdr:rowOff>
    </xdr:from>
    <xdr:to>
      <xdr:col>10</xdr:col>
      <xdr:colOff>582706</xdr:colOff>
      <xdr:row>96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0B0356D-D6FC-433F-AB73-3854F51BA1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35858</xdr:colOff>
      <xdr:row>67</xdr:row>
      <xdr:rowOff>189752</xdr:rowOff>
    </xdr:from>
    <xdr:to>
      <xdr:col>10</xdr:col>
      <xdr:colOff>776942</xdr:colOff>
      <xdr:row>95</xdr:row>
      <xdr:rowOff>164353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BABE89C2-AFE0-41EA-A5D3-4CEC924123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5 - CSC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AC0C0"/>
      </a:accent1>
      <a:accent2>
        <a:srgbClr val="182D53"/>
      </a:accent2>
      <a:accent3>
        <a:srgbClr val="36AFCE"/>
      </a:accent3>
      <a:accent4>
        <a:srgbClr val="1D6FA9"/>
      </a:accent4>
      <a:accent5>
        <a:srgbClr val="B74919"/>
      </a:accent5>
      <a:accent6>
        <a:srgbClr val="D0605A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33E12-3BC6-8D4F-9D58-C21333D6C3DD}">
  <sheetPr>
    <tabColor rgb="FF0070C0"/>
  </sheetPr>
  <dimension ref="A1:D35"/>
  <sheetViews>
    <sheetView tabSelected="1" zoomScaleNormal="100" zoomScaleSheetLayoutView="147" workbookViewId="0">
      <selection activeCell="D31" sqref="D31"/>
    </sheetView>
  </sheetViews>
  <sheetFormatPr defaultColWidth="11" defaultRowHeight="15.75"/>
  <cols>
    <col min="1" max="1" width="3.375" customWidth="1"/>
    <col min="2" max="2" width="4.125" customWidth="1"/>
    <col min="3" max="3" width="5.5" customWidth="1"/>
    <col min="4" max="4" width="118.875" style="166" customWidth="1"/>
  </cols>
  <sheetData>
    <row r="1" spans="1:4" ht="18.75">
      <c r="A1" s="145" t="s">
        <v>154</v>
      </c>
    </row>
    <row r="3" spans="1:4">
      <c r="B3" t="s">
        <v>155</v>
      </c>
      <c r="C3" t="s">
        <v>163</v>
      </c>
    </row>
    <row r="5" spans="1:4">
      <c r="C5" s="277" t="s">
        <v>156</v>
      </c>
      <c r="D5" s="280" t="s">
        <v>157</v>
      </c>
    </row>
    <row r="6" spans="1:4">
      <c r="C6" s="277" t="s">
        <v>158</v>
      </c>
      <c r="D6" s="280" t="s">
        <v>159</v>
      </c>
    </row>
    <row r="7" spans="1:4">
      <c r="C7" s="277" t="s">
        <v>160</v>
      </c>
      <c r="D7" s="280" t="s">
        <v>259</v>
      </c>
    </row>
    <row r="8" spans="1:4">
      <c r="C8" s="277" t="s">
        <v>161</v>
      </c>
      <c r="D8" s="280" t="s">
        <v>260</v>
      </c>
    </row>
    <row r="10" spans="1:4">
      <c r="B10" t="s">
        <v>162</v>
      </c>
      <c r="C10" t="s">
        <v>261</v>
      </c>
    </row>
    <row r="12" spans="1:4">
      <c r="C12" t="s">
        <v>169</v>
      </c>
    </row>
    <row r="13" spans="1:4">
      <c r="D13" s="166" t="s">
        <v>164</v>
      </c>
    </row>
    <row r="14" spans="1:4">
      <c r="D14" s="166" t="s">
        <v>165</v>
      </c>
    </row>
    <row r="15" spans="1:4">
      <c r="D15" s="166" t="s">
        <v>166</v>
      </c>
    </row>
    <row r="17" spans="2:4">
      <c r="B17" t="s">
        <v>167</v>
      </c>
      <c r="C17" t="s">
        <v>168</v>
      </c>
    </row>
    <row r="19" spans="2:4">
      <c r="C19" t="s">
        <v>170</v>
      </c>
    </row>
    <row r="21" spans="2:4">
      <c r="D21" s="166" t="s">
        <v>173</v>
      </c>
    </row>
    <row r="22" spans="2:4">
      <c r="D22" s="166" t="s">
        <v>171</v>
      </c>
    </row>
    <row r="23" spans="2:4" ht="31.5">
      <c r="D23" s="166" t="s">
        <v>172</v>
      </c>
    </row>
    <row r="25" spans="2:4" ht="31.5">
      <c r="D25" s="166" t="s">
        <v>174</v>
      </c>
    </row>
    <row r="27" spans="2:4" ht="31.5">
      <c r="D27" s="166" t="s">
        <v>175</v>
      </c>
    </row>
    <row r="28" spans="2:4">
      <c r="D28" s="166" t="s">
        <v>176</v>
      </c>
    </row>
    <row r="29" spans="2:4">
      <c r="D29" s="166" t="s">
        <v>177</v>
      </c>
    </row>
    <row r="31" spans="2:4">
      <c r="C31" t="s">
        <v>182</v>
      </c>
    </row>
    <row r="33" spans="3:4">
      <c r="C33" s="168" t="s">
        <v>178</v>
      </c>
      <c r="D33" s="166" t="s">
        <v>179</v>
      </c>
    </row>
    <row r="34" spans="3:4">
      <c r="C34" s="169" t="s">
        <v>183</v>
      </c>
      <c r="D34" s="166" t="s">
        <v>184</v>
      </c>
    </row>
    <row r="35" spans="3:4">
      <c r="C35" t="s">
        <v>180</v>
      </c>
      <c r="D35" s="166" t="s">
        <v>181</v>
      </c>
    </row>
  </sheetData>
  <pageMargins left="0.7" right="0.7" top="0.75" bottom="0.75" header="0.3" footer="0.3"/>
  <pageSetup scale="7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92064-217D-44D1-A044-4A7659726507}">
  <sheetPr>
    <tabColor theme="8" tint="-0.499984740745262"/>
    <pageSetUpPr fitToPage="1"/>
  </sheetPr>
  <dimension ref="A1:W74"/>
  <sheetViews>
    <sheetView view="pageBreakPreview" topLeftCell="A57" zoomScale="85" zoomScaleNormal="100" zoomScaleSheetLayoutView="85" workbookViewId="0">
      <selection activeCell="P80" sqref="P80"/>
    </sheetView>
  </sheetViews>
  <sheetFormatPr defaultColWidth="11" defaultRowHeight="15.75" outlineLevelCol="1"/>
  <cols>
    <col min="1" max="1" width="11" customWidth="1" outlineLevel="1"/>
    <col min="2" max="2" width="9.125" customWidth="1" outlineLevel="1"/>
    <col min="3" max="5" width="11" customWidth="1" outlineLevel="1"/>
    <col min="21" max="22" width="11" customWidth="1" outlineLevel="1"/>
    <col min="23" max="23" width="11" style="33" customWidth="1" outlineLevel="1"/>
  </cols>
  <sheetData>
    <row r="1" spans="1:23" ht="18.75">
      <c r="A1" s="145" t="s">
        <v>254</v>
      </c>
    </row>
    <row r="2" spans="1:23" ht="18.75">
      <c r="F2" s="145"/>
    </row>
    <row r="3" spans="1:23" ht="18.75">
      <c r="A3" t="s">
        <v>149</v>
      </c>
      <c r="B3" s="236">
        <v>0.05</v>
      </c>
      <c r="F3" s="145"/>
    </row>
    <row r="4" spans="1:23" ht="18.75">
      <c r="F4" s="145"/>
      <c r="W4"/>
    </row>
    <row r="5" spans="1:23">
      <c r="F5" s="4" t="s">
        <v>146</v>
      </c>
      <c r="L5" s="4" t="s">
        <v>147</v>
      </c>
      <c r="R5" s="4" t="s">
        <v>145</v>
      </c>
      <c r="W5"/>
    </row>
    <row r="6" spans="1:23">
      <c r="F6" s="8"/>
      <c r="L6" s="8"/>
      <c r="R6" s="8"/>
      <c r="T6" s="8"/>
      <c r="W6"/>
    </row>
    <row r="7" spans="1:23">
      <c r="D7" s="32" t="s">
        <v>140</v>
      </c>
      <c r="F7" t="s">
        <v>2</v>
      </c>
      <c r="G7" t="s">
        <v>139</v>
      </c>
      <c r="H7" t="s">
        <v>132</v>
      </c>
      <c r="I7" t="s">
        <v>58</v>
      </c>
      <c r="J7" t="s">
        <v>144</v>
      </c>
      <c r="L7" t="s">
        <v>2</v>
      </c>
      <c r="M7" t="s">
        <v>139</v>
      </c>
      <c r="N7" t="s">
        <v>132</v>
      </c>
      <c r="O7" t="s">
        <v>58</v>
      </c>
      <c r="P7" t="s">
        <v>144</v>
      </c>
      <c r="R7" t="s">
        <v>2</v>
      </c>
      <c r="S7" t="s">
        <v>139</v>
      </c>
      <c r="T7" t="s">
        <v>132</v>
      </c>
      <c r="U7" t="s">
        <v>58</v>
      </c>
      <c r="V7" t="s">
        <v>144</v>
      </c>
      <c r="W7"/>
    </row>
    <row r="8" spans="1:23">
      <c r="D8">
        <v>1</v>
      </c>
      <c r="F8" s="264">
        <f>TRANSPOSE('Model-3-Low'!$U$75)/1000000</f>
        <v>55</v>
      </c>
      <c r="G8" s="264">
        <f>TRANSPOSE('Model-3-Low'!$U$71)/1000000</f>
        <v>50</v>
      </c>
      <c r="H8" s="264">
        <f>TRANSPOSE('Model-3-Low'!$U$109)/1000000</f>
        <v>2.1112500000000001</v>
      </c>
      <c r="I8" s="264">
        <f>'Model-3-Low'!$U$118/1000000*-1</f>
        <v>50.802292309757078</v>
      </c>
      <c r="J8" s="265">
        <f>H8-I8</f>
        <v>-48.69104230975708</v>
      </c>
      <c r="K8" s="264"/>
      <c r="L8" s="264">
        <f>TRANSPOSE('Combined-High'!$U$75)/1000000</f>
        <v>55</v>
      </c>
      <c r="M8" s="264">
        <f>TRANSPOSE('Combined-High'!$U$71)/1000000</f>
        <v>50</v>
      </c>
      <c r="N8" s="264">
        <f>TRANSPOSE('Combined-High'!$U$109)/1000000</f>
        <v>1.4675</v>
      </c>
      <c r="O8" s="264">
        <f>'Combined-High'!$U$118/1000000*-1</f>
        <v>75.87531346463561</v>
      </c>
      <c r="P8" s="265">
        <f>N8-O8</f>
        <v>-74.407813464635609</v>
      </c>
      <c r="Q8" s="264"/>
      <c r="R8" s="264">
        <f t="shared" ref="R8:R39" si="0">AVERAGE(F8,L8)</f>
        <v>55</v>
      </c>
      <c r="S8" s="264">
        <f t="shared" ref="S8:S39" si="1">AVERAGE(G8,M8)</f>
        <v>50</v>
      </c>
      <c r="T8" s="264">
        <f t="shared" ref="T8:T39" si="2">AVERAGE(H8,N8)</f>
        <v>1.7893750000000002</v>
      </c>
      <c r="U8" s="264">
        <f t="shared" ref="U8:U39" si="3">AVERAGE(I8,O8)</f>
        <v>63.338802887196344</v>
      </c>
      <c r="V8" s="265">
        <f>T8-U8</f>
        <v>-61.549427887196344</v>
      </c>
    </row>
    <row r="9" spans="1:23">
      <c r="D9">
        <f>1+D8</f>
        <v>2</v>
      </c>
      <c r="F9" s="264">
        <f>'Model-3-Low'!$V$75/1000000</f>
        <v>82.5</v>
      </c>
      <c r="G9" s="264">
        <f>'Model-3-Low'!$V$71/1000000</f>
        <v>75</v>
      </c>
      <c r="H9" s="264">
        <f>'Model-3-Low'!$V$109/1000000</f>
        <v>2.8668749999999998</v>
      </c>
      <c r="I9" s="264">
        <f>'Model-3-Low'!$V$118/1000000*-1</f>
        <v>51.203438464635617</v>
      </c>
      <c r="J9" s="265">
        <f t="shared" ref="J9:J17" si="4">H9-I9</f>
        <v>-48.336563464635617</v>
      </c>
      <c r="K9" s="264"/>
      <c r="L9" s="264">
        <f>'Combined-High'!$V$75/1000000</f>
        <v>82.5</v>
      </c>
      <c r="M9" s="264">
        <f>'Combined-High'!$V$71/1000000</f>
        <v>75</v>
      </c>
      <c r="N9" s="264">
        <f>'Combined-High'!$V$109/1000000</f>
        <v>1.9012500000000001</v>
      </c>
      <c r="O9" s="264">
        <f>'Combined-High'!$V$118/1000000*-1</f>
        <v>76.31297019695343</v>
      </c>
      <c r="P9" s="265">
        <f t="shared" ref="P9:P17" si="5">N9-O9</f>
        <v>-74.411720196953425</v>
      </c>
      <c r="Q9" s="264"/>
      <c r="R9" s="264">
        <f t="shared" si="0"/>
        <v>82.5</v>
      </c>
      <c r="S9" s="264">
        <f t="shared" si="1"/>
        <v>75</v>
      </c>
      <c r="T9" s="264">
        <f t="shared" si="2"/>
        <v>2.3840624999999998</v>
      </c>
      <c r="U9" s="264">
        <f t="shared" si="3"/>
        <v>63.758204330794527</v>
      </c>
      <c r="V9" s="265">
        <f t="shared" ref="V9:V17" si="6">T9-U9</f>
        <v>-61.374141830794528</v>
      </c>
    </row>
    <row r="10" spans="1:23">
      <c r="D10">
        <f t="shared" ref="D10:D67" si="7">1+D9</f>
        <v>3</v>
      </c>
      <c r="F10" s="264">
        <f>'Model-3-Low'!$W$75/1000000</f>
        <v>137.5</v>
      </c>
      <c r="G10" s="264">
        <f>'Model-3-Low'!$W$71/1000000</f>
        <v>125</v>
      </c>
      <c r="H10" s="264">
        <f>'Model-3-Low'!$W$109/1000000</f>
        <v>4.3781249999999998</v>
      </c>
      <c r="I10" s="264">
        <f>'Model-3-Low'!$W$118/1000000*-1</f>
        <v>52.005730774392703</v>
      </c>
      <c r="J10" s="265">
        <f t="shared" si="4"/>
        <v>-47.627605774392705</v>
      </c>
      <c r="K10" s="264"/>
      <c r="L10" s="264">
        <f>'Combined-High'!$W$75/1000000</f>
        <v>137.5</v>
      </c>
      <c r="M10" s="264">
        <f>'Combined-High'!$W$71/1000000</f>
        <v>125</v>
      </c>
      <c r="N10" s="264">
        <f>'Combined-High'!$W$109/1000000</f>
        <v>2.7687499999999994</v>
      </c>
      <c r="O10" s="264">
        <f>'Combined-High'!$W$118/1000000*-1</f>
        <v>77.188283661589054</v>
      </c>
      <c r="P10" s="265">
        <f t="shared" si="5"/>
        <v>-74.419533661589057</v>
      </c>
      <c r="Q10" s="264"/>
      <c r="R10" s="264">
        <f t="shared" si="0"/>
        <v>137.5</v>
      </c>
      <c r="S10" s="264">
        <f t="shared" si="1"/>
        <v>125</v>
      </c>
      <c r="T10" s="264">
        <f t="shared" si="2"/>
        <v>3.5734374999999998</v>
      </c>
      <c r="U10" s="264">
        <f t="shared" si="3"/>
        <v>64.597007217990878</v>
      </c>
      <c r="V10" s="265">
        <f t="shared" si="6"/>
        <v>-61.023569717990881</v>
      </c>
    </row>
    <row r="11" spans="1:23">
      <c r="D11">
        <f t="shared" si="7"/>
        <v>4</v>
      </c>
      <c r="F11" s="264">
        <f>'Model-3-Low'!$X$75/1000000</f>
        <v>220</v>
      </c>
      <c r="G11" s="264">
        <f>'Model-3-Low'!$X$71/1000000</f>
        <v>200</v>
      </c>
      <c r="H11" s="264">
        <f>'Model-3-Low'!$X$109/1000000</f>
        <v>6.6449999999999996</v>
      </c>
      <c r="I11" s="264">
        <f>'Model-3-Low'!$X$118/1000000*-1</f>
        <v>53.20916923902832</v>
      </c>
      <c r="J11" s="265">
        <f t="shared" si="4"/>
        <v>-46.564169239028317</v>
      </c>
      <c r="K11" s="264"/>
      <c r="L11" s="264">
        <f>'Combined-High'!$X$75/1000000</f>
        <v>220</v>
      </c>
      <c r="M11" s="264">
        <f>'Combined-High'!$X$71/1000000</f>
        <v>200</v>
      </c>
      <c r="N11" s="264">
        <f>'Combined-High'!$X$109/1000000</f>
        <v>4.07</v>
      </c>
      <c r="O11" s="264">
        <f>'Combined-High'!$X$118/1000000*-1</f>
        <v>78.501253858542469</v>
      </c>
      <c r="P11" s="265">
        <f t="shared" si="5"/>
        <v>-74.431253858542476</v>
      </c>
      <c r="Q11" s="264"/>
      <c r="R11" s="264">
        <f t="shared" si="0"/>
        <v>220</v>
      </c>
      <c r="S11" s="264">
        <f t="shared" si="1"/>
        <v>200</v>
      </c>
      <c r="T11" s="264">
        <f t="shared" si="2"/>
        <v>5.3574999999999999</v>
      </c>
      <c r="U11" s="264">
        <f t="shared" si="3"/>
        <v>65.855211548785391</v>
      </c>
      <c r="V11" s="265">
        <f t="shared" si="6"/>
        <v>-60.497711548785389</v>
      </c>
    </row>
    <row r="12" spans="1:23">
      <c r="D12">
        <f t="shared" si="7"/>
        <v>5</v>
      </c>
      <c r="F12" s="264">
        <f>'Model-3-Low'!$Y$75/1000000</f>
        <v>330</v>
      </c>
      <c r="G12" s="264">
        <f>'Model-3-Low'!$Y$71/1000000</f>
        <v>300</v>
      </c>
      <c r="H12" s="264">
        <f>'Model-3-Low'!$Y$109/1000000</f>
        <v>9.6675000000000004</v>
      </c>
      <c r="I12" s="264">
        <f>'Model-3-Low'!$Y$118/1000000*-1</f>
        <v>54.813753858542476</v>
      </c>
      <c r="J12" s="265">
        <f t="shared" si="4"/>
        <v>-45.14625385854248</v>
      </c>
      <c r="K12" s="264"/>
      <c r="L12" s="264">
        <f>'Combined-High'!$Y$75/1000000</f>
        <v>330</v>
      </c>
      <c r="M12" s="264">
        <f>'Combined-High'!$Y$71/1000000</f>
        <v>300</v>
      </c>
      <c r="N12" s="264">
        <f>'Combined-High'!$Y$109/1000000</f>
        <v>5.8049999999999997</v>
      </c>
      <c r="O12" s="264">
        <f>'Combined-High'!$Y$118/1000000*-1</f>
        <v>80.251880787813718</v>
      </c>
      <c r="P12" s="265">
        <f t="shared" si="5"/>
        <v>-74.446880787813711</v>
      </c>
      <c r="Q12" s="264"/>
      <c r="R12" s="264">
        <f t="shared" si="0"/>
        <v>330</v>
      </c>
      <c r="S12" s="264">
        <f t="shared" si="1"/>
        <v>300</v>
      </c>
      <c r="T12" s="264">
        <f t="shared" si="2"/>
        <v>7.7362500000000001</v>
      </c>
      <c r="U12" s="264">
        <f t="shared" si="3"/>
        <v>67.532817323178094</v>
      </c>
      <c r="V12" s="265">
        <f t="shared" si="6"/>
        <v>-59.796567323178095</v>
      </c>
    </row>
    <row r="13" spans="1:23">
      <c r="D13">
        <f t="shared" si="7"/>
        <v>6</v>
      </c>
      <c r="F13" s="264">
        <f>'Model-3-Low'!$Z$75/1000000</f>
        <v>440</v>
      </c>
      <c r="G13" s="264">
        <f>'Model-3-Low'!$Z$71/1000000</f>
        <v>400</v>
      </c>
      <c r="H13" s="264">
        <f>'Model-3-Low'!$Z$109/1000000</f>
        <v>12.69</v>
      </c>
      <c r="I13" s="264">
        <f>'Model-3-Low'!$Z$118/1000000*-1</f>
        <v>56.41833847805664</v>
      </c>
      <c r="J13" s="265">
        <f t="shared" si="4"/>
        <v>-43.728338478056642</v>
      </c>
      <c r="K13" s="264"/>
      <c r="L13" s="264">
        <f>'Combined-High'!$Z$75/1000000</f>
        <v>440</v>
      </c>
      <c r="M13" s="264">
        <f>'Combined-High'!$Z$71/1000000</f>
        <v>400</v>
      </c>
      <c r="N13" s="264">
        <f>'Combined-High'!$Z$109/1000000</f>
        <v>7.54</v>
      </c>
      <c r="O13" s="264">
        <f>'Combined-High'!$Z$118/1000000*-1</f>
        <v>82.002507717084939</v>
      </c>
      <c r="P13" s="265">
        <f t="shared" si="5"/>
        <v>-74.462507717084932</v>
      </c>
      <c r="Q13" s="264"/>
      <c r="R13" s="264">
        <f t="shared" si="0"/>
        <v>440</v>
      </c>
      <c r="S13" s="264">
        <f t="shared" si="1"/>
        <v>400</v>
      </c>
      <c r="T13" s="264">
        <f t="shared" si="2"/>
        <v>10.115</v>
      </c>
      <c r="U13" s="264">
        <f t="shared" si="3"/>
        <v>69.210423097570782</v>
      </c>
      <c r="V13" s="265">
        <f t="shared" si="6"/>
        <v>-59.09542309757078</v>
      </c>
    </row>
    <row r="14" spans="1:23">
      <c r="D14">
        <f t="shared" si="7"/>
        <v>7</v>
      </c>
      <c r="F14" s="264">
        <f>'Model-3-Low'!$AA$75/1000000</f>
        <v>550</v>
      </c>
      <c r="G14" s="264">
        <f>'Model-3-Low'!$AA$71/1000000</f>
        <v>500</v>
      </c>
      <c r="H14" s="264">
        <f>'Model-3-Low'!$AA$109/1000000</f>
        <v>15.547500000000001</v>
      </c>
      <c r="I14" s="264">
        <f>'Model-3-Low'!$AA$118/1000000*-1</f>
        <v>57.948782713729699</v>
      </c>
      <c r="J14" s="265">
        <f t="shared" si="4"/>
        <v>-42.401282713729699</v>
      </c>
      <c r="K14" s="264"/>
      <c r="L14" s="264">
        <f>'Combined-High'!$AA$75/1000000</f>
        <v>550</v>
      </c>
      <c r="M14" s="264">
        <f>'Combined-High'!$AA$71/1000000</f>
        <v>500</v>
      </c>
      <c r="N14" s="264">
        <f>'Combined-High'!$AA$109/1000000</f>
        <v>9.1100000000000012</v>
      </c>
      <c r="O14" s="264">
        <f>'Combined-High'!$AA$118/1000000*-1</f>
        <v>83.641924070594555</v>
      </c>
      <c r="P14" s="265">
        <f t="shared" si="5"/>
        <v>-74.531924070594556</v>
      </c>
      <c r="Q14" s="264"/>
      <c r="R14" s="264">
        <f t="shared" si="0"/>
        <v>550</v>
      </c>
      <c r="S14" s="264">
        <f t="shared" si="1"/>
        <v>500</v>
      </c>
      <c r="T14" s="264">
        <f t="shared" si="2"/>
        <v>12.328750000000001</v>
      </c>
      <c r="U14" s="264">
        <f t="shared" si="3"/>
        <v>70.795353392162127</v>
      </c>
      <c r="V14" s="265">
        <f t="shared" si="6"/>
        <v>-58.466603392162128</v>
      </c>
    </row>
    <row r="15" spans="1:23">
      <c r="D15">
        <f t="shared" si="7"/>
        <v>8</v>
      </c>
      <c r="F15" s="264">
        <f>'Model-3-Low'!$AB$75/1000000</f>
        <v>715</v>
      </c>
      <c r="G15" s="264">
        <f>'Model-3-Low'!$AB$71/1000000</f>
        <v>650</v>
      </c>
      <c r="H15" s="264">
        <f>'Model-3-Low'!$AB$109/1000000</f>
        <v>20.031749999999999</v>
      </c>
      <c r="I15" s="264">
        <f>'Model-3-Low'!$AB$118/1000000*-1</f>
        <v>60.33341752784861</v>
      </c>
      <c r="J15" s="265">
        <f t="shared" si="4"/>
        <v>-40.301667527848608</v>
      </c>
      <c r="K15" s="264"/>
      <c r="L15" s="264">
        <f>'Combined-High'!$AB$75/1000000</f>
        <v>715</v>
      </c>
      <c r="M15" s="264">
        <f>'Combined-High'!$AB$71/1000000</f>
        <v>650</v>
      </c>
      <c r="N15" s="264">
        <f>'Combined-High'!$AB$109/1000000</f>
        <v>11.663</v>
      </c>
      <c r="O15" s="264">
        <f>'Combined-High'!$AB$118/1000000*-1</f>
        <v>86.234501291772915</v>
      </c>
      <c r="P15" s="265">
        <f t="shared" si="5"/>
        <v>-74.571501291772918</v>
      </c>
      <c r="Q15" s="264"/>
      <c r="R15" s="264">
        <f t="shared" si="0"/>
        <v>715</v>
      </c>
      <c r="S15" s="264">
        <f t="shared" si="1"/>
        <v>650</v>
      </c>
      <c r="T15" s="264">
        <f t="shared" si="2"/>
        <v>15.847375</v>
      </c>
      <c r="U15" s="264">
        <f t="shared" si="3"/>
        <v>73.283959409810763</v>
      </c>
      <c r="V15" s="265">
        <f t="shared" si="6"/>
        <v>-57.436584409810763</v>
      </c>
    </row>
    <row r="16" spans="1:23">
      <c r="D16">
        <f t="shared" si="7"/>
        <v>9</v>
      </c>
      <c r="F16" s="264">
        <f>'Model-3-Low'!$AC$75/1000000</f>
        <v>880</v>
      </c>
      <c r="G16" s="264">
        <f>'Model-3-Low'!$AC$71/1000000</f>
        <v>800</v>
      </c>
      <c r="H16" s="264">
        <f>'Model-3-Low'!$AC$109/1000000</f>
        <v>24.34</v>
      </c>
      <c r="I16" s="264">
        <f>'Model-3-Low'!$AC$118/1000000*-1</f>
        <v>62.638969265870358</v>
      </c>
      <c r="J16" s="265">
        <f t="shared" si="4"/>
        <v>-38.298969265870355</v>
      </c>
      <c r="K16" s="264"/>
      <c r="L16" s="264">
        <f>'Combined-High'!$AC$75/1000000</f>
        <v>880</v>
      </c>
      <c r="M16" s="264">
        <f>'Combined-High'!$AC$71/1000000</f>
        <v>800</v>
      </c>
      <c r="N16" s="264">
        <f>'Combined-High'!$AC$109/1000000</f>
        <v>14.04</v>
      </c>
      <c r="O16" s="264">
        <f>'Combined-High'!$AC$118/1000000*-1</f>
        <v>88.70845389880553</v>
      </c>
      <c r="P16" s="265">
        <f t="shared" si="5"/>
        <v>-74.668453898805524</v>
      </c>
      <c r="Q16" s="264"/>
      <c r="R16" s="264">
        <f t="shared" si="0"/>
        <v>880</v>
      </c>
      <c r="S16" s="264">
        <f t="shared" si="1"/>
        <v>800</v>
      </c>
      <c r="T16" s="264">
        <f t="shared" si="2"/>
        <v>19.189999999999998</v>
      </c>
      <c r="U16" s="264">
        <f t="shared" si="3"/>
        <v>75.673711582337944</v>
      </c>
      <c r="V16" s="265">
        <f t="shared" si="6"/>
        <v>-56.483711582337946</v>
      </c>
    </row>
    <row r="17" spans="2:22">
      <c r="D17">
        <f t="shared" si="7"/>
        <v>10</v>
      </c>
      <c r="F17" s="264">
        <f>'Model-3-Low'!$AD$75/1000000</f>
        <v>1100</v>
      </c>
      <c r="G17" s="264">
        <f>'Model-3-Low'!$AD$71/1000000</f>
        <v>1000</v>
      </c>
      <c r="H17" s="264">
        <f>'Model-3-Low'!$AD$109/1000000</f>
        <v>30.274999999999995</v>
      </c>
      <c r="I17" s="264">
        <f>'Model-3-Low'!$AD$118/1000000*-1</f>
        <v>65.798711582337944</v>
      </c>
      <c r="J17" s="265">
        <f t="shared" si="4"/>
        <v>-35.523711582337953</v>
      </c>
      <c r="K17" s="264"/>
      <c r="L17" s="264">
        <f>'Combined-High'!$AD$75/1000000</f>
        <v>1100</v>
      </c>
      <c r="M17" s="264">
        <f>'Combined-High'!$AD$71/1000000</f>
        <v>1000</v>
      </c>
      <c r="N17" s="264">
        <f>'Combined-High'!$AD$109/1000000</f>
        <v>17.399999999999995</v>
      </c>
      <c r="O17" s="264">
        <f>'Combined-High'!$AD$118/1000000*-1</f>
        <v>92.135567373506902</v>
      </c>
      <c r="P17" s="265">
        <f t="shared" si="5"/>
        <v>-74.73556737350691</v>
      </c>
      <c r="Q17" s="264"/>
      <c r="R17" s="264">
        <f t="shared" si="0"/>
        <v>1100</v>
      </c>
      <c r="S17" s="264">
        <f t="shared" si="1"/>
        <v>1000</v>
      </c>
      <c r="T17" s="264">
        <f t="shared" si="2"/>
        <v>23.837499999999995</v>
      </c>
      <c r="U17" s="264">
        <f t="shared" si="3"/>
        <v>78.967139477922416</v>
      </c>
      <c r="V17" s="265">
        <f t="shared" si="6"/>
        <v>-55.129639477922424</v>
      </c>
    </row>
    <row r="18" spans="2:22">
      <c r="B18" s="33"/>
      <c r="C18" s="33"/>
      <c r="D18">
        <f t="shared" si="7"/>
        <v>11</v>
      </c>
      <c r="E18" s="33"/>
      <c r="F18" s="266">
        <f t="shared" ref="F18:F49" si="8">F17*(1+$B$3)</f>
        <v>1155</v>
      </c>
      <c r="G18" s="266">
        <f t="shared" ref="G18:G49" si="9">G17*(1+$B$3)</f>
        <v>1050</v>
      </c>
      <c r="H18" s="266">
        <f t="shared" ref="H18:H49" si="10">G18*$B$70+$B$74</f>
        <v>31.758750000000003</v>
      </c>
      <c r="I18" s="266">
        <f t="shared" ref="I18:I49" si="11">-(G18*$C$70+$D$70+$E$70)</f>
        <v>66.588647161454844</v>
      </c>
      <c r="J18" s="266">
        <f>H18-I18</f>
        <v>-34.829897161454838</v>
      </c>
      <c r="K18" s="266"/>
      <c r="L18" s="266">
        <f t="shared" ref="L18:L49" si="12">L17*(1+$B$3)</f>
        <v>1155</v>
      </c>
      <c r="M18" s="266">
        <f t="shared" ref="M18:M49" si="13">M17*(1+$B$3)</f>
        <v>1050</v>
      </c>
      <c r="N18" s="266">
        <f>M18*$B$71+$B$74</f>
        <v>18.240000000000002</v>
      </c>
      <c r="O18" s="266">
        <f t="shared" ref="O18:O49" si="14">-(M18*$C$71+$D$71+$E$71)</f>
        <v>92.992345742182252</v>
      </c>
      <c r="P18" s="266">
        <f>N18-O18</f>
        <v>-74.752345742182257</v>
      </c>
      <c r="Q18" s="264"/>
      <c r="R18" s="264">
        <f t="shared" si="0"/>
        <v>1155</v>
      </c>
      <c r="S18" s="264">
        <f t="shared" si="1"/>
        <v>1050</v>
      </c>
      <c r="T18" s="264">
        <f t="shared" si="2"/>
        <v>24.999375000000001</v>
      </c>
      <c r="U18" s="264">
        <f t="shared" si="3"/>
        <v>79.790496451818541</v>
      </c>
      <c r="V18" s="266">
        <f>T18-U18</f>
        <v>-54.79112145181854</v>
      </c>
    </row>
    <row r="19" spans="2:22">
      <c r="B19" s="33"/>
      <c r="C19" s="33"/>
      <c r="D19">
        <f t="shared" si="7"/>
        <v>12</v>
      </c>
      <c r="E19" s="33"/>
      <c r="F19" s="266">
        <f t="shared" si="8"/>
        <v>1212.75</v>
      </c>
      <c r="G19" s="266">
        <f t="shared" si="9"/>
        <v>1102.5</v>
      </c>
      <c r="H19" s="266">
        <f t="shared" si="10"/>
        <v>33.3166875</v>
      </c>
      <c r="I19" s="266">
        <f t="shared" si="11"/>
        <v>67.418079519527581</v>
      </c>
      <c r="J19" s="266">
        <f t="shared" ref="J19:J67" si="15">H19-I19</f>
        <v>-34.10139201952758</v>
      </c>
      <c r="K19" s="266"/>
      <c r="L19" s="266">
        <f t="shared" si="12"/>
        <v>1212.75</v>
      </c>
      <c r="M19" s="266">
        <f t="shared" si="13"/>
        <v>1102.5</v>
      </c>
      <c r="N19" s="266">
        <f t="shared" ref="N19:N67" si="16">M19*$B$71+$B$74</f>
        <v>19.122</v>
      </c>
      <c r="O19" s="266">
        <f t="shared" si="14"/>
        <v>93.891963029291361</v>
      </c>
      <c r="P19" s="266">
        <f t="shared" ref="P19:P67" si="17">N19-O19</f>
        <v>-74.769963029291361</v>
      </c>
      <c r="Q19" s="264"/>
      <c r="R19" s="264">
        <f t="shared" si="0"/>
        <v>1212.75</v>
      </c>
      <c r="S19" s="264">
        <f t="shared" si="1"/>
        <v>1102.5</v>
      </c>
      <c r="T19" s="264">
        <f t="shared" si="2"/>
        <v>26.21934375</v>
      </c>
      <c r="U19" s="264">
        <f t="shared" si="3"/>
        <v>80.655021274409478</v>
      </c>
      <c r="V19" s="266">
        <f t="shared" ref="V19:V67" si="18">T19-U19</f>
        <v>-54.435677524409478</v>
      </c>
    </row>
    <row r="20" spans="2:22">
      <c r="B20" s="33"/>
      <c r="C20" s="33"/>
      <c r="D20">
        <f t="shared" si="7"/>
        <v>13</v>
      </c>
      <c r="E20" s="33"/>
      <c r="F20" s="266">
        <f t="shared" si="8"/>
        <v>1273.3875</v>
      </c>
      <c r="G20" s="266">
        <f t="shared" si="9"/>
        <v>1157.625</v>
      </c>
      <c r="H20" s="266">
        <f t="shared" si="10"/>
        <v>34.952521875000002</v>
      </c>
      <c r="I20" s="266">
        <f t="shared" si="11"/>
        <v>68.288983495503956</v>
      </c>
      <c r="J20" s="266">
        <f t="shared" si="15"/>
        <v>-33.336461620503954</v>
      </c>
      <c r="K20" s="266"/>
      <c r="L20" s="266">
        <f t="shared" si="12"/>
        <v>1273.3875</v>
      </c>
      <c r="M20" s="266">
        <f t="shared" si="13"/>
        <v>1157.625</v>
      </c>
      <c r="N20" s="266">
        <f t="shared" si="16"/>
        <v>20.048100000000002</v>
      </c>
      <c r="O20" s="266">
        <f t="shared" si="14"/>
        <v>94.836561180755936</v>
      </c>
      <c r="P20" s="266">
        <f t="shared" si="17"/>
        <v>-74.788461180755931</v>
      </c>
      <c r="Q20" s="264"/>
      <c r="R20" s="264">
        <f t="shared" si="0"/>
        <v>1273.3875</v>
      </c>
      <c r="S20" s="264">
        <f t="shared" si="1"/>
        <v>1157.625</v>
      </c>
      <c r="T20" s="264">
        <f t="shared" si="2"/>
        <v>27.500310937500004</v>
      </c>
      <c r="U20" s="264">
        <f t="shared" si="3"/>
        <v>81.562772338129946</v>
      </c>
      <c r="V20" s="266">
        <f t="shared" si="18"/>
        <v>-54.062461400629942</v>
      </c>
    </row>
    <row r="21" spans="2:22">
      <c r="B21" s="33"/>
      <c r="C21" s="33"/>
      <c r="D21">
        <f t="shared" si="7"/>
        <v>14</v>
      </c>
      <c r="E21" s="33"/>
      <c r="F21" s="266">
        <f t="shared" si="8"/>
        <v>1337.056875</v>
      </c>
      <c r="G21" s="266">
        <f t="shared" si="9"/>
        <v>1215.5062500000001</v>
      </c>
      <c r="H21" s="266">
        <f t="shared" si="10"/>
        <v>36.670147968750008</v>
      </c>
      <c r="I21" s="266">
        <f t="shared" si="11"/>
        <v>69.203432670279156</v>
      </c>
      <c r="J21" s="266">
        <f t="shared" si="15"/>
        <v>-32.533284701529148</v>
      </c>
      <c r="K21" s="266"/>
      <c r="L21" s="266">
        <f t="shared" si="12"/>
        <v>1337.056875</v>
      </c>
      <c r="M21" s="266">
        <f t="shared" si="13"/>
        <v>1215.5062500000001</v>
      </c>
      <c r="N21" s="266">
        <f t="shared" si="16"/>
        <v>21.020505000000004</v>
      </c>
      <c r="O21" s="266">
        <f t="shared" si="14"/>
        <v>95.828389239793736</v>
      </c>
      <c r="P21" s="266">
        <f t="shared" si="17"/>
        <v>-74.807884239793736</v>
      </c>
      <c r="Q21" s="264"/>
      <c r="R21" s="264">
        <f t="shared" si="0"/>
        <v>1337.056875</v>
      </c>
      <c r="S21" s="264">
        <f t="shared" si="1"/>
        <v>1215.5062500000001</v>
      </c>
      <c r="T21" s="264">
        <f t="shared" si="2"/>
        <v>28.845326484375008</v>
      </c>
      <c r="U21" s="264">
        <f t="shared" si="3"/>
        <v>82.515910955036446</v>
      </c>
      <c r="V21" s="266">
        <f t="shared" si="18"/>
        <v>-53.670584470661439</v>
      </c>
    </row>
    <row r="22" spans="2:22">
      <c r="B22" s="33"/>
      <c r="C22" s="33"/>
      <c r="D22">
        <f t="shared" si="7"/>
        <v>15</v>
      </c>
      <c r="E22" s="33"/>
      <c r="F22" s="266">
        <f t="shared" si="8"/>
        <v>1403.9097187500001</v>
      </c>
      <c r="G22" s="266">
        <f t="shared" si="9"/>
        <v>1276.2815625000003</v>
      </c>
      <c r="H22" s="266">
        <f t="shared" si="10"/>
        <v>38.473655367187511</v>
      </c>
      <c r="I22" s="266">
        <f t="shared" si="11"/>
        <v>70.163604303793122</v>
      </c>
      <c r="J22" s="266">
        <f t="shared" si="15"/>
        <v>-31.68994893660561</v>
      </c>
      <c r="K22" s="266"/>
      <c r="L22" s="266">
        <f t="shared" si="12"/>
        <v>1403.9097187500001</v>
      </c>
      <c r="M22" s="266">
        <f t="shared" si="13"/>
        <v>1276.2815625000003</v>
      </c>
      <c r="N22" s="266">
        <f t="shared" si="16"/>
        <v>22.041530250000005</v>
      </c>
      <c r="O22" s="266">
        <f t="shared" si="14"/>
        <v>96.869808701783427</v>
      </c>
      <c r="P22" s="266">
        <f t="shared" si="17"/>
        <v>-74.828278451783419</v>
      </c>
      <c r="Q22" s="264"/>
      <c r="R22" s="264">
        <f t="shared" si="0"/>
        <v>1403.9097187500001</v>
      </c>
      <c r="S22" s="264">
        <f t="shared" si="1"/>
        <v>1276.2815625000003</v>
      </c>
      <c r="T22" s="264">
        <f t="shared" si="2"/>
        <v>30.257592808593756</v>
      </c>
      <c r="U22" s="264">
        <f t="shared" si="3"/>
        <v>83.516706502788281</v>
      </c>
      <c r="V22" s="266">
        <f t="shared" si="18"/>
        <v>-53.259113694194525</v>
      </c>
    </row>
    <row r="23" spans="2:22">
      <c r="B23" s="33"/>
      <c r="C23" s="33"/>
      <c r="D23">
        <f t="shared" si="7"/>
        <v>16</v>
      </c>
      <c r="E23" s="33"/>
      <c r="F23" s="266">
        <f t="shared" si="8"/>
        <v>1474.1052046875002</v>
      </c>
      <c r="G23" s="266">
        <f t="shared" si="9"/>
        <v>1340.0956406250004</v>
      </c>
      <c r="H23" s="266">
        <f t="shared" si="10"/>
        <v>40.367338135546888</v>
      </c>
      <c r="I23" s="266">
        <f t="shared" si="11"/>
        <v>71.171784518982776</v>
      </c>
      <c r="J23" s="266">
        <f t="shared" si="15"/>
        <v>-30.804446383435888</v>
      </c>
      <c r="K23" s="266"/>
      <c r="L23" s="266">
        <f t="shared" si="12"/>
        <v>1474.1052046875002</v>
      </c>
      <c r="M23" s="266">
        <f t="shared" si="13"/>
        <v>1340.0956406250004</v>
      </c>
      <c r="N23" s="266">
        <f t="shared" si="16"/>
        <v>23.113606762500009</v>
      </c>
      <c r="O23" s="266">
        <f t="shared" si="14"/>
        <v>97.963299136872592</v>
      </c>
      <c r="P23" s="266">
        <f t="shared" si="17"/>
        <v>-74.84969237437258</v>
      </c>
      <c r="Q23" s="264"/>
      <c r="R23" s="264">
        <f t="shared" si="0"/>
        <v>1474.1052046875002</v>
      </c>
      <c r="S23" s="264">
        <f t="shared" si="1"/>
        <v>1340.0956406250004</v>
      </c>
      <c r="T23" s="264">
        <f t="shared" si="2"/>
        <v>31.74047244902345</v>
      </c>
      <c r="U23" s="264">
        <f t="shared" si="3"/>
        <v>84.567541827927684</v>
      </c>
      <c r="V23" s="266">
        <f t="shared" si="18"/>
        <v>-52.827069378904234</v>
      </c>
    </row>
    <row r="24" spans="2:22">
      <c r="B24" s="33"/>
      <c r="C24" s="33"/>
      <c r="D24">
        <f t="shared" si="7"/>
        <v>17</v>
      </c>
      <c r="E24" s="33"/>
      <c r="F24" s="266">
        <f t="shared" si="8"/>
        <v>1547.8104649218753</v>
      </c>
      <c r="G24" s="266">
        <f t="shared" si="9"/>
        <v>1407.1004226562504</v>
      </c>
      <c r="H24" s="266">
        <f t="shared" si="10"/>
        <v>42.355705042324232</v>
      </c>
      <c r="I24" s="266">
        <f t="shared" si="11"/>
        <v>72.23037374493191</v>
      </c>
      <c r="J24" s="266">
        <f t="shared" si="15"/>
        <v>-29.874668702607678</v>
      </c>
      <c r="K24" s="266"/>
      <c r="L24" s="266">
        <f t="shared" si="12"/>
        <v>1547.8104649218753</v>
      </c>
      <c r="M24" s="266">
        <f t="shared" si="13"/>
        <v>1407.1004226562504</v>
      </c>
      <c r="N24" s="266">
        <f t="shared" si="16"/>
        <v>24.239287100625006</v>
      </c>
      <c r="O24" s="266">
        <f t="shared" si="14"/>
        <v>99.111464093716222</v>
      </c>
      <c r="P24" s="266">
        <f t="shared" si="17"/>
        <v>-74.872176993091216</v>
      </c>
      <c r="Q24" s="264"/>
      <c r="R24" s="264">
        <f t="shared" si="0"/>
        <v>1547.8104649218753</v>
      </c>
      <c r="S24" s="264">
        <f t="shared" si="1"/>
        <v>1407.1004226562504</v>
      </c>
      <c r="T24" s="264">
        <f t="shared" si="2"/>
        <v>33.297496071474619</v>
      </c>
      <c r="U24" s="264">
        <f t="shared" si="3"/>
        <v>85.670918919324066</v>
      </c>
      <c r="V24" s="266">
        <f t="shared" si="18"/>
        <v>-52.373422847849447</v>
      </c>
    </row>
    <row r="25" spans="2:22">
      <c r="B25" s="33"/>
      <c r="C25" s="33"/>
      <c r="D25">
        <f t="shared" si="7"/>
        <v>18</v>
      </c>
      <c r="E25" s="33"/>
      <c r="F25" s="266">
        <f t="shared" si="8"/>
        <v>1625.2009881679692</v>
      </c>
      <c r="G25" s="266">
        <f t="shared" si="9"/>
        <v>1477.4554437890631</v>
      </c>
      <c r="H25" s="266">
        <f t="shared" si="10"/>
        <v>44.443490294440451</v>
      </c>
      <c r="I25" s="266">
        <f t="shared" si="11"/>
        <v>73.341892432178511</v>
      </c>
      <c r="J25" s="266">
        <f t="shared" si="15"/>
        <v>-28.89840213773806</v>
      </c>
      <c r="K25" s="266"/>
      <c r="L25" s="266">
        <f t="shared" si="12"/>
        <v>1625.2009881679692</v>
      </c>
      <c r="M25" s="266">
        <f t="shared" si="13"/>
        <v>1477.4554437890631</v>
      </c>
      <c r="N25" s="266">
        <f t="shared" si="16"/>
        <v>25.421251455656261</v>
      </c>
      <c r="O25" s="266">
        <f t="shared" si="14"/>
        <v>100.31703729840204</v>
      </c>
      <c r="P25" s="266">
        <f t="shared" si="17"/>
        <v>-74.895785842745781</v>
      </c>
      <c r="Q25" s="264"/>
      <c r="R25" s="264">
        <f t="shared" si="0"/>
        <v>1625.2009881679692</v>
      </c>
      <c r="S25" s="264">
        <f t="shared" si="1"/>
        <v>1477.4554437890631</v>
      </c>
      <c r="T25" s="264">
        <f t="shared" si="2"/>
        <v>34.932370875048356</v>
      </c>
      <c r="U25" s="264">
        <f t="shared" si="3"/>
        <v>86.829464865290277</v>
      </c>
      <c r="V25" s="266">
        <f t="shared" si="18"/>
        <v>-51.89709399024192</v>
      </c>
    </row>
    <row r="26" spans="2:22">
      <c r="B26" s="33"/>
      <c r="C26" s="33"/>
      <c r="D26">
        <f t="shared" si="7"/>
        <v>19</v>
      </c>
      <c r="E26" s="33"/>
      <c r="F26" s="266">
        <f t="shared" si="8"/>
        <v>1706.4610375763677</v>
      </c>
      <c r="G26" s="266">
        <f t="shared" si="9"/>
        <v>1551.3282159785163</v>
      </c>
      <c r="H26" s="266">
        <f t="shared" si="10"/>
        <v>46.635664809162471</v>
      </c>
      <c r="I26" s="266">
        <f t="shared" si="11"/>
        <v>74.508987053787436</v>
      </c>
      <c r="J26" s="266">
        <f t="shared" si="15"/>
        <v>-27.873322244624966</v>
      </c>
      <c r="K26" s="266"/>
      <c r="L26" s="266">
        <f t="shared" si="12"/>
        <v>1706.4610375763677</v>
      </c>
      <c r="M26" s="266">
        <f t="shared" si="13"/>
        <v>1551.3282159785163</v>
      </c>
      <c r="N26" s="266">
        <f t="shared" si="16"/>
        <v>26.662314028439074</v>
      </c>
      <c r="O26" s="266">
        <f t="shared" si="14"/>
        <v>101.58288916332214</v>
      </c>
      <c r="P26" s="266">
        <f t="shared" si="17"/>
        <v>-74.920575134883066</v>
      </c>
      <c r="Q26" s="264"/>
      <c r="R26" s="264">
        <f t="shared" si="0"/>
        <v>1706.4610375763677</v>
      </c>
      <c r="S26" s="264">
        <f t="shared" si="1"/>
        <v>1551.3282159785163</v>
      </c>
      <c r="T26" s="264">
        <f t="shared" si="2"/>
        <v>36.648989418800774</v>
      </c>
      <c r="U26" s="264">
        <f t="shared" si="3"/>
        <v>88.045938108554793</v>
      </c>
      <c r="V26" s="266">
        <f t="shared" si="18"/>
        <v>-51.396948689754019</v>
      </c>
    </row>
    <row r="27" spans="2:22">
      <c r="B27" s="33"/>
      <c r="C27" s="33"/>
      <c r="D27">
        <f t="shared" si="7"/>
        <v>20</v>
      </c>
      <c r="E27" s="33"/>
      <c r="F27" s="266">
        <f t="shared" si="8"/>
        <v>1791.7840894551862</v>
      </c>
      <c r="G27" s="266">
        <f t="shared" si="9"/>
        <v>1628.8946267774422</v>
      </c>
      <c r="H27" s="266">
        <f t="shared" si="10"/>
        <v>48.937448049620599</v>
      </c>
      <c r="I27" s="266">
        <f t="shared" si="11"/>
        <v>75.734436406476817</v>
      </c>
      <c r="J27" s="266">
        <f t="shared" si="15"/>
        <v>-26.796988356856218</v>
      </c>
      <c r="K27" s="266"/>
      <c r="L27" s="266">
        <f t="shared" si="12"/>
        <v>1791.7840894551862</v>
      </c>
      <c r="M27" s="266">
        <f t="shared" si="13"/>
        <v>1628.8946267774422</v>
      </c>
      <c r="N27" s="266">
        <f t="shared" si="16"/>
        <v>27.965429729861029</v>
      </c>
      <c r="O27" s="266">
        <f t="shared" si="14"/>
        <v>102.91203362148826</v>
      </c>
      <c r="P27" s="266">
        <f t="shared" si="17"/>
        <v>-74.946603891627234</v>
      </c>
      <c r="Q27" s="264"/>
      <c r="R27" s="264">
        <f t="shared" si="0"/>
        <v>1791.7840894551862</v>
      </c>
      <c r="S27" s="264">
        <f t="shared" si="1"/>
        <v>1628.8946267774422</v>
      </c>
      <c r="T27" s="264">
        <f t="shared" si="2"/>
        <v>38.451438889740814</v>
      </c>
      <c r="U27" s="264">
        <f t="shared" si="3"/>
        <v>89.32323501398254</v>
      </c>
      <c r="V27" s="266">
        <f t="shared" si="18"/>
        <v>-50.871796124241726</v>
      </c>
    </row>
    <row r="28" spans="2:22">
      <c r="B28" s="33"/>
      <c r="C28" s="33"/>
      <c r="D28">
        <f t="shared" si="7"/>
        <v>21</v>
      </c>
      <c r="E28" s="33"/>
      <c r="F28" s="266">
        <f t="shared" si="8"/>
        <v>1881.3732939279455</v>
      </c>
      <c r="G28" s="266">
        <f t="shared" si="9"/>
        <v>1710.3393581163143</v>
      </c>
      <c r="H28" s="266">
        <f t="shared" si="10"/>
        <v>51.354320452101632</v>
      </c>
      <c r="I28" s="266">
        <f t="shared" si="11"/>
        <v>77.021158226800651</v>
      </c>
      <c r="J28" s="266">
        <f t="shared" si="15"/>
        <v>-25.666837774699019</v>
      </c>
      <c r="K28" s="266"/>
      <c r="L28" s="266">
        <f t="shared" si="12"/>
        <v>1881.3732939279455</v>
      </c>
      <c r="M28" s="266">
        <f t="shared" si="13"/>
        <v>1710.3393581163143</v>
      </c>
      <c r="N28" s="266">
        <f t="shared" si="16"/>
        <v>29.333701216354079</v>
      </c>
      <c r="O28" s="266">
        <f t="shared" si="14"/>
        <v>104.30763530256266</v>
      </c>
      <c r="P28" s="266">
        <f t="shared" si="17"/>
        <v>-74.973934086208573</v>
      </c>
      <c r="Q28" s="264"/>
      <c r="R28" s="264">
        <f t="shared" si="0"/>
        <v>1881.3732939279455</v>
      </c>
      <c r="S28" s="264">
        <f t="shared" si="1"/>
        <v>1710.3393581163143</v>
      </c>
      <c r="T28" s="264">
        <f t="shared" si="2"/>
        <v>40.344010834227859</v>
      </c>
      <c r="U28" s="264">
        <f t="shared" si="3"/>
        <v>90.664396764681655</v>
      </c>
      <c r="V28" s="266">
        <f t="shared" si="18"/>
        <v>-50.320385930453796</v>
      </c>
    </row>
    <row r="29" spans="2:22">
      <c r="B29" s="33"/>
      <c r="C29" s="33"/>
      <c r="D29">
        <f t="shared" si="7"/>
        <v>22</v>
      </c>
      <c r="E29" s="33"/>
      <c r="F29" s="266">
        <f t="shared" si="8"/>
        <v>1975.4419586243428</v>
      </c>
      <c r="G29" s="266">
        <f t="shared" si="9"/>
        <v>1795.8563260221301</v>
      </c>
      <c r="H29" s="266">
        <f t="shared" si="10"/>
        <v>53.892036474706714</v>
      </c>
      <c r="I29" s="266">
        <f t="shared" si="11"/>
        <v>78.372216138140686</v>
      </c>
      <c r="J29" s="266">
        <f t="shared" si="15"/>
        <v>-24.480179663433972</v>
      </c>
      <c r="K29" s="266"/>
      <c r="L29" s="266">
        <f t="shared" si="12"/>
        <v>1975.4419586243428</v>
      </c>
      <c r="M29" s="266">
        <f t="shared" si="13"/>
        <v>1795.8563260221301</v>
      </c>
      <c r="N29" s="266">
        <f t="shared" si="16"/>
        <v>30.770386277171784</v>
      </c>
      <c r="O29" s="266">
        <f t="shared" si="14"/>
        <v>105.7730170676908</v>
      </c>
      <c r="P29" s="266">
        <f t="shared" si="17"/>
        <v>-75.002630790519021</v>
      </c>
      <c r="Q29" s="264"/>
      <c r="R29" s="264">
        <f t="shared" si="0"/>
        <v>1975.4419586243428</v>
      </c>
      <c r="S29" s="264">
        <f t="shared" si="1"/>
        <v>1795.8563260221301</v>
      </c>
      <c r="T29" s="264">
        <f t="shared" si="2"/>
        <v>42.331211375939247</v>
      </c>
      <c r="U29" s="264">
        <f t="shared" si="3"/>
        <v>92.072616602915744</v>
      </c>
      <c r="V29" s="266">
        <f t="shared" si="18"/>
        <v>-49.741405226976497</v>
      </c>
    </row>
    <row r="30" spans="2:22">
      <c r="B30" s="33"/>
      <c r="C30" s="33"/>
      <c r="D30">
        <f t="shared" si="7"/>
        <v>23</v>
      </c>
      <c r="E30" s="33"/>
      <c r="F30" s="266">
        <f t="shared" si="8"/>
        <v>2074.2140565555601</v>
      </c>
      <c r="G30" s="266">
        <f t="shared" si="9"/>
        <v>1885.6491423232367</v>
      </c>
      <c r="H30" s="266">
        <f t="shared" si="10"/>
        <v>56.556638298442053</v>
      </c>
      <c r="I30" s="266">
        <f t="shared" si="11"/>
        <v>79.790826945047726</v>
      </c>
      <c r="J30" s="266">
        <f t="shared" si="15"/>
        <v>-23.234188646605674</v>
      </c>
      <c r="K30" s="266"/>
      <c r="L30" s="266">
        <f t="shared" si="12"/>
        <v>2074.2140565555601</v>
      </c>
      <c r="M30" s="266">
        <f t="shared" si="13"/>
        <v>1885.6491423232367</v>
      </c>
      <c r="N30" s="266">
        <f t="shared" si="16"/>
        <v>32.278905591030373</v>
      </c>
      <c r="O30" s="266">
        <f t="shared" si="14"/>
        <v>107.31166792107534</v>
      </c>
      <c r="P30" s="266">
        <f t="shared" si="17"/>
        <v>-75.03276233004496</v>
      </c>
      <c r="Q30" s="264"/>
      <c r="R30" s="264">
        <f t="shared" si="0"/>
        <v>2074.2140565555601</v>
      </c>
      <c r="S30" s="264">
        <f t="shared" si="1"/>
        <v>1885.6491423232367</v>
      </c>
      <c r="T30" s="264">
        <f t="shared" si="2"/>
        <v>44.417771944736216</v>
      </c>
      <c r="U30" s="264">
        <f t="shared" si="3"/>
        <v>93.551247433061533</v>
      </c>
      <c r="V30" s="266">
        <f t="shared" si="18"/>
        <v>-49.133475488325317</v>
      </c>
    </row>
    <row r="31" spans="2:22">
      <c r="B31" s="33"/>
      <c r="C31" s="33"/>
      <c r="D31">
        <f t="shared" si="7"/>
        <v>24</v>
      </c>
      <c r="E31" s="33"/>
      <c r="F31" s="266">
        <f t="shared" si="8"/>
        <v>2177.9247593833384</v>
      </c>
      <c r="G31" s="266">
        <f t="shared" si="9"/>
        <v>1979.9315994393985</v>
      </c>
      <c r="H31" s="266">
        <f t="shared" si="10"/>
        <v>59.354470213364152</v>
      </c>
      <c r="I31" s="266">
        <f t="shared" si="11"/>
        <v>81.280368292300111</v>
      </c>
      <c r="J31" s="266">
        <f t="shared" si="15"/>
        <v>-21.925898078935958</v>
      </c>
      <c r="K31" s="266"/>
      <c r="L31" s="266">
        <f t="shared" si="12"/>
        <v>2177.9247593833384</v>
      </c>
      <c r="M31" s="266">
        <f t="shared" si="13"/>
        <v>1979.9315994393985</v>
      </c>
      <c r="N31" s="266">
        <f t="shared" si="16"/>
        <v>33.862850870581894</v>
      </c>
      <c r="O31" s="266">
        <f t="shared" si="14"/>
        <v>108.92725131712911</v>
      </c>
      <c r="P31" s="266">
        <f t="shared" si="17"/>
        <v>-75.064400446547211</v>
      </c>
      <c r="Q31" s="264"/>
      <c r="R31" s="264">
        <f t="shared" si="0"/>
        <v>2177.9247593833384</v>
      </c>
      <c r="S31" s="264">
        <f t="shared" si="1"/>
        <v>1979.9315994393985</v>
      </c>
      <c r="T31" s="264">
        <f t="shared" si="2"/>
        <v>46.608660541973023</v>
      </c>
      <c r="U31" s="264">
        <f t="shared" si="3"/>
        <v>95.103809804714615</v>
      </c>
      <c r="V31" s="266">
        <f t="shared" si="18"/>
        <v>-48.495149262741592</v>
      </c>
    </row>
    <row r="32" spans="2:22">
      <c r="B32" s="33"/>
      <c r="C32" s="33"/>
      <c r="D32">
        <f t="shared" si="7"/>
        <v>25</v>
      </c>
      <c r="E32" s="33"/>
      <c r="F32" s="266">
        <f t="shared" si="8"/>
        <v>2286.8209973525054</v>
      </c>
      <c r="G32" s="266">
        <f t="shared" si="9"/>
        <v>2078.9281794113685</v>
      </c>
      <c r="H32" s="266">
        <f t="shared" si="10"/>
        <v>62.292193724032366</v>
      </c>
      <c r="I32" s="266">
        <f t="shared" si="11"/>
        <v>82.844386706915117</v>
      </c>
      <c r="J32" s="266">
        <f t="shared" si="15"/>
        <v>-20.552192982882751</v>
      </c>
      <c r="K32" s="266"/>
      <c r="L32" s="266">
        <f t="shared" si="12"/>
        <v>2286.8209973525054</v>
      </c>
      <c r="M32" s="266">
        <f t="shared" si="13"/>
        <v>2078.9281794113685</v>
      </c>
      <c r="N32" s="266">
        <f t="shared" si="16"/>
        <v>35.525993414110992</v>
      </c>
      <c r="O32" s="266">
        <f t="shared" si="14"/>
        <v>110.62361388298557</v>
      </c>
      <c r="P32" s="266">
        <f t="shared" si="17"/>
        <v>-75.097620468874567</v>
      </c>
      <c r="Q32" s="264"/>
      <c r="R32" s="264">
        <f t="shared" si="0"/>
        <v>2286.8209973525054</v>
      </c>
      <c r="S32" s="264">
        <f t="shared" si="1"/>
        <v>2078.9281794113685</v>
      </c>
      <c r="T32" s="264">
        <f t="shared" si="2"/>
        <v>48.909093569071679</v>
      </c>
      <c r="U32" s="264">
        <f t="shared" si="3"/>
        <v>96.734000294950334</v>
      </c>
      <c r="V32" s="266">
        <f t="shared" si="18"/>
        <v>-47.824906725878655</v>
      </c>
    </row>
    <row r="33" spans="2:22">
      <c r="B33" s="33"/>
      <c r="C33" s="33"/>
      <c r="D33">
        <f t="shared" si="7"/>
        <v>26</v>
      </c>
      <c r="E33" s="33"/>
      <c r="F33" s="266">
        <f t="shared" si="8"/>
        <v>2401.1620472201307</v>
      </c>
      <c r="G33" s="266">
        <f t="shared" si="9"/>
        <v>2182.874588381937</v>
      </c>
      <c r="H33" s="266">
        <f t="shared" si="10"/>
        <v>65.376803410233975</v>
      </c>
      <c r="I33" s="266">
        <f t="shared" si="11"/>
        <v>84.486606042260874</v>
      </c>
      <c r="J33" s="266">
        <f t="shared" si="15"/>
        <v>-19.109802632026899</v>
      </c>
      <c r="K33" s="266"/>
      <c r="L33" s="266">
        <f t="shared" si="12"/>
        <v>2401.1620472201307</v>
      </c>
      <c r="M33" s="266">
        <f t="shared" si="13"/>
        <v>2182.874588381937</v>
      </c>
      <c r="N33" s="266">
        <f t="shared" si="16"/>
        <v>37.272293084816539</v>
      </c>
      <c r="O33" s="266">
        <f t="shared" si="14"/>
        <v>112.40479457713485</v>
      </c>
      <c r="P33" s="266">
        <f t="shared" si="17"/>
        <v>-75.132501492318312</v>
      </c>
      <c r="Q33" s="264"/>
      <c r="R33" s="264">
        <f t="shared" si="0"/>
        <v>2401.1620472201307</v>
      </c>
      <c r="S33" s="264">
        <f t="shared" si="1"/>
        <v>2182.874588381937</v>
      </c>
      <c r="T33" s="264">
        <f t="shared" si="2"/>
        <v>51.324548247525257</v>
      </c>
      <c r="U33" s="264">
        <f t="shared" si="3"/>
        <v>98.445700309697855</v>
      </c>
      <c r="V33" s="266">
        <f t="shared" si="18"/>
        <v>-47.121152062172598</v>
      </c>
    </row>
    <row r="34" spans="2:22">
      <c r="B34" s="33"/>
      <c r="C34" s="33"/>
      <c r="D34">
        <f t="shared" si="7"/>
        <v>27</v>
      </c>
      <c r="E34" s="33"/>
      <c r="F34" s="266">
        <f t="shared" si="8"/>
        <v>2521.2201495811373</v>
      </c>
      <c r="G34" s="266">
        <f t="shared" si="9"/>
        <v>2292.0183178010338</v>
      </c>
      <c r="H34" s="266">
        <f t="shared" si="10"/>
        <v>68.615643580745669</v>
      </c>
      <c r="I34" s="266">
        <f t="shared" si="11"/>
        <v>86.21093634437392</v>
      </c>
      <c r="J34" s="266">
        <f t="shared" si="15"/>
        <v>-17.595292763628251</v>
      </c>
      <c r="K34" s="266"/>
      <c r="L34" s="266">
        <f t="shared" si="12"/>
        <v>2521.2201495811373</v>
      </c>
      <c r="M34" s="266">
        <f t="shared" si="13"/>
        <v>2292.0183178010338</v>
      </c>
      <c r="N34" s="266">
        <f t="shared" si="16"/>
        <v>39.105907739057365</v>
      </c>
      <c r="O34" s="266">
        <f t="shared" si="14"/>
        <v>114.2750343059916</v>
      </c>
      <c r="P34" s="266">
        <f t="shared" si="17"/>
        <v>-75.169126566934239</v>
      </c>
      <c r="Q34" s="264"/>
      <c r="R34" s="264">
        <f t="shared" si="0"/>
        <v>2521.2201495811373</v>
      </c>
      <c r="S34" s="264">
        <f t="shared" si="1"/>
        <v>2292.0183178010338</v>
      </c>
      <c r="T34" s="264">
        <f t="shared" si="2"/>
        <v>53.86077565990152</v>
      </c>
      <c r="U34" s="264">
        <f t="shared" si="3"/>
        <v>100.24298532518276</v>
      </c>
      <c r="V34" s="266">
        <f t="shared" si="18"/>
        <v>-46.382209665281238</v>
      </c>
    </row>
    <row r="35" spans="2:22">
      <c r="B35" s="33"/>
      <c r="C35" s="33"/>
      <c r="D35">
        <f t="shared" si="7"/>
        <v>28</v>
      </c>
      <c r="E35" s="33"/>
      <c r="F35" s="266">
        <f t="shared" si="8"/>
        <v>2647.2811570601943</v>
      </c>
      <c r="G35" s="266">
        <f t="shared" si="9"/>
        <v>2406.6192336910858</v>
      </c>
      <c r="H35" s="266">
        <f t="shared" si="10"/>
        <v>72.016425759782962</v>
      </c>
      <c r="I35" s="266">
        <f t="shared" si="11"/>
        <v>88.021483161592613</v>
      </c>
      <c r="J35" s="266">
        <f t="shared" si="15"/>
        <v>-16.005057401809651</v>
      </c>
      <c r="K35" s="266"/>
      <c r="L35" s="266">
        <f t="shared" si="12"/>
        <v>2647.2811570601943</v>
      </c>
      <c r="M35" s="266">
        <f t="shared" si="13"/>
        <v>2406.6192336910858</v>
      </c>
      <c r="N35" s="266">
        <f t="shared" si="16"/>
        <v>41.03120312601024</v>
      </c>
      <c r="O35" s="266">
        <f t="shared" si="14"/>
        <v>116.23878602129116</v>
      </c>
      <c r="P35" s="266">
        <f t="shared" si="17"/>
        <v>-75.207582895280922</v>
      </c>
      <c r="Q35" s="264"/>
      <c r="R35" s="264">
        <f t="shared" si="0"/>
        <v>2647.2811570601943</v>
      </c>
      <c r="S35" s="264">
        <f t="shared" si="1"/>
        <v>2406.6192336910858</v>
      </c>
      <c r="T35" s="264">
        <f t="shared" si="2"/>
        <v>56.523814442896601</v>
      </c>
      <c r="U35" s="264">
        <f t="shared" si="3"/>
        <v>102.13013459144189</v>
      </c>
      <c r="V35" s="266">
        <f t="shared" si="18"/>
        <v>-45.606320148545286</v>
      </c>
    </row>
    <row r="36" spans="2:22">
      <c r="B36" s="33"/>
      <c r="C36" s="33"/>
      <c r="D36">
        <f t="shared" si="7"/>
        <v>29</v>
      </c>
      <c r="E36" s="33"/>
      <c r="F36" s="266">
        <f t="shared" si="8"/>
        <v>2779.6452149132042</v>
      </c>
      <c r="G36" s="266">
        <f t="shared" si="9"/>
        <v>2526.9501953756403</v>
      </c>
      <c r="H36" s="266">
        <f t="shared" si="10"/>
        <v>75.587247047772124</v>
      </c>
      <c r="I36" s="266">
        <f t="shared" si="11"/>
        <v>89.922557319672251</v>
      </c>
      <c r="J36" s="266">
        <f t="shared" si="15"/>
        <v>-14.335310271900127</v>
      </c>
      <c r="K36" s="266"/>
      <c r="L36" s="266">
        <f t="shared" si="12"/>
        <v>2779.6452149132042</v>
      </c>
      <c r="M36" s="266">
        <f t="shared" si="13"/>
        <v>2526.9501953756403</v>
      </c>
      <c r="N36" s="266">
        <f t="shared" si="16"/>
        <v>43.052763282310757</v>
      </c>
      <c r="O36" s="266">
        <f t="shared" si="14"/>
        <v>118.30072532235573</v>
      </c>
      <c r="P36" s="266">
        <f t="shared" si="17"/>
        <v>-75.247962040044968</v>
      </c>
      <c r="Q36" s="264"/>
      <c r="R36" s="264">
        <f t="shared" si="0"/>
        <v>2779.6452149132042</v>
      </c>
      <c r="S36" s="264">
        <f t="shared" si="1"/>
        <v>2526.9501953756403</v>
      </c>
      <c r="T36" s="264">
        <f t="shared" si="2"/>
        <v>59.320005165041437</v>
      </c>
      <c r="U36" s="264">
        <f t="shared" si="3"/>
        <v>104.11164132101399</v>
      </c>
      <c r="V36" s="266">
        <f t="shared" si="18"/>
        <v>-44.791636155972554</v>
      </c>
    </row>
    <row r="37" spans="2:22">
      <c r="B37" s="33"/>
      <c r="C37" s="33"/>
      <c r="D37">
        <f t="shared" si="7"/>
        <v>30</v>
      </c>
      <c r="E37" s="33"/>
      <c r="F37" s="266">
        <f t="shared" si="8"/>
        <v>2918.6274756588646</v>
      </c>
      <c r="G37" s="266">
        <f t="shared" si="9"/>
        <v>2653.2977051444223</v>
      </c>
      <c r="H37" s="266">
        <f t="shared" si="10"/>
        <v>79.336609400160725</v>
      </c>
      <c r="I37" s="266">
        <f t="shared" si="11"/>
        <v>91.918685185655875</v>
      </c>
      <c r="J37" s="266">
        <f t="shared" si="15"/>
        <v>-12.582075785495149</v>
      </c>
      <c r="K37" s="266"/>
      <c r="L37" s="266">
        <f t="shared" si="12"/>
        <v>2918.6274756588646</v>
      </c>
      <c r="M37" s="266">
        <f t="shared" si="13"/>
        <v>2653.2977051444223</v>
      </c>
      <c r="N37" s="266">
        <f t="shared" si="16"/>
        <v>45.175401446426292</v>
      </c>
      <c r="O37" s="266">
        <f t="shared" si="14"/>
        <v>120.46576158847353</v>
      </c>
      <c r="P37" s="266">
        <f t="shared" si="17"/>
        <v>-75.290360142047234</v>
      </c>
      <c r="Q37" s="264"/>
      <c r="R37" s="264">
        <f t="shared" si="0"/>
        <v>2918.6274756588646</v>
      </c>
      <c r="S37" s="264">
        <f t="shared" si="1"/>
        <v>2653.2977051444223</v>
      </c>
      <c r="T37" s="264">
        <f t="shared" si="2"/>
        <v>62.256005423293509</v>
      </c>
      <c r="U37" s="264">
        <f t="shared" si="3"/>
        <v>106.1922233870647</v>
      </c>
      <c r="V37" s="266">
        <f t="shared" si="18"/>
        <v>-43.936217963771192</v>
      </c>
    </row>
    <row r="38" spans="2:22">
      <c r="B38" s="33"/>
      <c r="C38" s="33"/>
      <c r="D38">
        <f t="shared" si="7"/>
        <v>31</v>
      </c>
      <c r="E38" s="33"/>
      <c r="F38" s="266">
        <f t="shared" si="8"/>
        <v>3064.558849441808</v>
      </c>
      <c r="G38" s="266">
        <f t="shared" si="9"/>
        <v>2785.9625904016434</v>
      </c>
      <c r="H38" s="266">
        <f t="shared" si="10"/>
        <v>83.273439870168758</v>
      </c>
      <c r="I38" s="266">
        <f t="shared" si="11"/>
        <v>94.01461944493866</v>
      </c>
      <c r="J38" s="266">
        <f t="shared" si="15"/>
        <v>-10.741179574769902</v>
      </c>
      <c r="K38" s="266"/>
      <c r="L38" s="266">
        <f t="shared" si="12"/>
        <v>3064.558849441808</v>
      </c>
      <c r="M38" s="266">
        <f t="shared" si="13"/>
        <v>2785.9625904016434</v>
      </c>
      <c r="N38" s="266">
        <f t="shared" si="16"/>
        <v>47.40417151874761</v>
      </c>
      <c r="O38" s="266">
        <f t="shared" si="14"/>
        <v>122.73904966789721</v>
      </c>
      <c r="P38" s="266">
        <f t="shared" si="17"/>
        <v>-75.334878149149603</v>
      </c>
      <c r="Q38" s="264"/>
      <c r="R38" s="264">
        <f t="shared" si="0"/>
        <v>3064.558849441808</v>
      </c>
      <c r="S38" s="264">
        <f t="shared" si="1"/>
        <v>2785.9625904016434</v>
      </c>
      <c r="T38" s="264">
        <f t="shared" si="2"/>
        <v>65.338805694458188</v>
      </c>
      <c r="U38" s="264">
        <f t="shared" si="3"/>
        <v>108.37683455641793</v>
      </c>
      <c r="V38" s="266">
        <f t="shared" si="18"/>
        <v>-43.038028861959745</v>
      </c>
    </row>
    <row r="39" spans="2:22">
      <c r="B39" s="33"/>
      <c r="C39" s="33"/>
      <c r="D39">
        <f t="shared" si="7"/>
        <v>32</v>
      </c>
      <c r="E39" s="33"/>
      <c r="F39" s="266">
        <f t="shared" si="8"/>
        <v>3217.7867919138985</v>
      </c>
      <c r="G39" s="266">
        <f t="shared" si="9"/>
        <v>2925.2607199217259</v>
      </c>
      <c r="H39" s="266">
        <f t="shared" si="10"/>
        <v>87.407111863677216</v>
      </c>
      <c r="I39" s="266">
        <f t="shared" si="11"/>
        <v>96.21535041718559</v>
      </c>
      <c r="J39" s="266">
        <f t="shared" si="15"/>
        <v>-8.8082385535083745</v>
      </c>
      <c r="K39" s="266"/>
      <c r="L39" s="266">
        <f t="shared" si="12"/>
        <v>3217.7867919138985</v>
      </c>
      <c r="M39" s="266">
        <f t="shared" si="13"/>
        <v>2925.2607199217259</v>
      </c>
      <c r="N39" s="266">
        <f t="shared" si="16"/>
        <v>49.744380094684992</v>
      </c>
      <c r="O39" s="266">
        <f t="shared" si="14"/>
        <v>125.12600215129206</v>
      </c>
      <c r="P39" s="266">
        <f t="shared" si="17"/>
        <v>-75.381622056607057</v>
      </c>
      <c r="Q39" s="264"/>
      <c r="R39" s="264">
        <f t="shared" si="0"/>
        <v>3217.7867919138985</v>
      </c>
      <c r="S39" s="264">
        <f t="shared" si="1"/>
        <v>2925.2607199217259</v>
      </c>
      <c r="T39" s="264">
        <f t="shared" si="2"/>
        <v>68.575745979181107</v>
      </c>
      <c r="U39" s="264">
        <f t="shared" si="3"/>
        <v>110.67067628423882</v>
      </c>
      <c r="V39" s="266">
        <f t="shared" si="18"/>
        <v>-42.094930305057716</v>
      </c>
    </row>
    <row r="40" spans="2:22">
      <c r="B40" s="33"/>
      <c r="C40" s="33"/>
      <c r="D40">
        <f t="shared" si="7"/>
        <v>33</v>
      </c>
      <c r="E40" s="33"/>
      <c r="F40" s="266">
        <f t="shared" si="8"/>
        <v>3378.6761315095937</v>
      </c>
      <c r="G40" s="266">
        <f t="shared" si="9"/>
        <v>3071.5237559178122</v>
      </c>
      <c r="H40" s="266">
        <f t="shared" si="10"/>
        <v>91.747467456861074</v>
      </c>
      <c r="I40" s="266">
        <f t="shared" si="11"/>
        <v>98.526117938044877</v>
      </c>
      <c r="J40" s="266">
        <f t="shared" si="15"/>
        <v>-6.7786504811838029</v>
      </c>
      <c r="K40" s="266"/>
      <c r="L40" s="266">
        <f t="shared" si="12"/>
        <v>3378.6761315095937</v>
      </c>
      <c r="M40" s="266">
        <f t="shared" si="13"/>
        <v>3071.5237559178122</v>
      </c>
      <c r="N40" s="266">
        <f t="shared" si="16"/>
        <v>52.201599099419241</v>
      </c>
      <c r="O40" s="266">
        <f t="shared" si="14"/>
        <v>127.63230225885667</v>
      </c>
      <c r="P40" s="266">
        <f t="shared" si="17"/>
        <v>-75.430703159437428</v>
      </c>
      <c r="Q40" s="264"/>
      <c r="R40" s="264">
        <f t="shared" ref="R40:R67" si="19">AVERAGE(F40,L40)</f>
        <v>3378.6761315095937</v>
      </c>
      <c r="S40" s="264">
        <f t="shared" ref="S40:S67" si="20">AVERAGE(G40,M40)</f>
        <v>3071.5237559178122</v>
      </c>
      <c r="T40" s="264">
        <f t="shared" ref="T40:T67" si="21">AVERAGE(H40,N40)</f>
        <v>71.974533278140157</v>
      </c>
      <c r="U40" s="264">
        <f t="shared" ref="U40:U67" si="22">AVERAGE(I40,O40)</f>
        <v>113.07921009845077</v>
      </c>
      <c r="V40" s="266">
        <f t="shared" si="18"/>
        <v>-41.104676820310615</v>
      </c>
    </row>
    <row r="41" spans="2:22">
      <c r="B41" s="33"/>
      <c r="C41" s="33"/>
      <c r="D41" s="69">
        <f t="shared" si="7"/>
        <v>34</v>
      </c>
      <c r="E41" s="33"/>
      <c r="F41" s="266">
        <f t="shared" si="8"/>
        <v>3547.6099380850737</v>
      </c>
      <c r="G41" s="266">
        <f t="shared" si="9"/>
        <v>3225.0999437137029</v>
      </c>
      <c r="H41" s="266">
        <f t="shared" si="10"/>
        <v>96.304840829704133</v>
      </c>
      <c r="I41" s="266">
        <f t="shared" si="11"/>
        <v>100.95242383494713</v>
      </c>
      <c r="J41" s="266">
        <f t="shared" si="15"/>
        <v>-4.6475830052429927</v>
      </c>
      <c r="L41" s="266">
        <f t="shared" si="12"/>
        <v>3547.6099380850737</v>
      </c>
      <c r="M41" s="266">
        <f t="shared" si="13"/>
        <v>3225.0999437137029</v>
      </c>
      <c r="N41" s="266">
        <f t="shared" si="16"/>
        <v>54.78167905439021</v>
      </c>
      <c r="O41" s="266">
        <f t="shared" si="14"/>
        <v>130.26391737179949</v>
      </c>
      <c r="P41" s="266">
        <f t="shared" si="17"/>
        <v>-75.482238317409283</v>
      </c>
      <c r="Q41" s="264"/>
      <c r="R41" s="264">
        <f t="shared" si="19"/>
        <v>3547.6099380850737</v>
      </c>
      <c r="S41" s="264">
        <f t="shared" si="20"/>
        <v>3225.0999437137029</v>
      </c>
      <c r="T41" s="264">
        <f t="shared" si="21"/>
        <v>75.543259942047172</v>
      </c>
      <c r="U41" s="264">
        <f t="shared" si="22"/>
        <v>115.60817060337331</v>
      </c>
      <c r="V41" s="266">
        <f t="shared" si="18"/>
        <v>-40.064910661326138</v>
      </c>
    </row>
    <row r="42" spans="2:22">
      <c r="B42" s="33"/>
      <c r="C42" s="33"/>
      <c r="D42" s="2">
        <f t="shared" si="7"/>
        <v>35</v>
      </c>
      <c r="E42" s="33"/>
      <c r="F42" s="266">
        <f t="shared" si="8"/>
        <v>3724.9904349893277</v>
      </c>
      <c r="G42" s="266">
        <f t="shared" si="9"/>
        <v>3386.3549408993881</v>
      </c>
      <c r="H42" s="266">
        <f t="shared" si="10"/>
        <v>101.09008287118934</v>
      </c>
      <c r="I42" s="266">
        <f t="shared" si="11"/>
        <v>103.50004502669448</v>
      </c>
      <c r="J42" s="266">
        <f t="shared" si="15"/>
        <v>-2.4099621555051414</v>
      </c>
      <c r="K42" s="266">
        <f>SUM(J8:J42)</f>
        <v>-976.23086625071096</v>
      </c>
      <c r="L42" s="266">
        <f t="shared" si="12"/>
        <v>3724.9904349893277</v>
      </c>
      <c r="M42" s="266">
        <f t="shared" si="13"/>
        <v>3386.3549408993881</v>
      </c>
      <c r="N42" s="266">
        <f t="shared" si="16"/>
        <v>57.49076300710972</v>
      </c>
      <c r="O42" s="266">
        <f t="shared" si="14"/>
        <v>133.02711324038947</v>
      </c>
      <c r="P42" s="266">
        <f t="shared" si="17"/>
        <v>-75.536350233279748</v>
      </c>
      <c r="Q42" s="264"/>
      <c r="R42" s="264">
        <f t="shared" si="19"/>
        <v>3724.9904349893277</v>
      </c>
      <c r="S42" s="264">
        <f t="shared" si="20"/>
        <v>3386.3549408993881</v>
      </c>
      <c r="T42" s="264">
        <f t="shared" si="21"/>
        <v>79.290422939149522</v>
      </c>
      <c r="U42" s="264">
        <f t="shared" si="22"/>
        <v>118.26357913354198</v>
      </c>
      <c r="V42" s="266">
        <f t="shared" si="18"/>
        <v>-38.973156194392459</v>
      </c>
    </row>
    <row r="43" spans="2:22">
      <c r="B43" s="33"/>
      <c r="C43" s="33"/>
      <c r="D43">
        <f t="shared" si="7"/>
        <v>36</v>
      </c>
      <c r="E43" s="33"/>
      <c r="F43" s="266">
        <f t="shared" si="8"/>
        <v>3911.2399567387943</v>
      </c>
      <c r="G43" s="266">
        <f t="shared" si="9"/>
        <v>3555.6726879443577</v>
      </c>
      <c r="H43" s="266">
        <f t="shared" si="10"/>
        <v>106.11458701474881</v>
      </c>
      <c r="I43" s="266">
        <f t="shared" si="11"/>
        <v>106.17504727802921</v>
      </c>
      <c r="J43" s="266">
        <f t="shared" si="15"/>
        <v>-6.0460263280404547E-2</v>
      </c>
      <c r="K43" s="266">
        <f>F43*0.15</f>
        <v>586.68599351081912</v>
      </c>
      <c r="L43" s="266">
        <f t="shared" si="12"/>
        <v>3911.2399567387943</v>
      </c>
      <c r="M43" s="266">
        <f t="shared" si="13"/>
        <v>3555.6726879443577</v>
      </c>
      <c r="N43" s="266">
        <f t="shared" si="16"/>
        <v>60.33530115746521</v>
      </c>
      <c r="O43" s="266">
        <f t="shared" si="14"/>
        <v>135.92846890240895</v>
      </c>
      <c r="P43" s="266">
        <f t="shared" si="17"/>
        <v>-75.593167744943742</v>
      </c>
      <c r="Q43" s="264"/>
      <c r="R43" s="264">
        <f t="shared" si="19"/>
        <v>3911.2399567387943</v>
      </c>
      <c r="S43" s="264">
        <f t="shared" si="20"/>
        <v>3555.6726879443577</v>
      </c>
      <c r="T43" s="264">
        <f t="shared" si="21"/>
        <v>83.224944086107001</v>
      </c>
      <c r="U43" s="264">
        <f t="shared" si="22"/>
        <v>121.05175809021908</v>
      </c>
      <c r="V43" s="266">
        <f t="shared" si="18"/>
        <v>-37.82681400411208</v>
      </c>
    </row>
    <row r="44" spans="2:22">
      <c r="B44" s="33"/>
      <c r="C44" s="33"/>
      <c r="D44">
        <f t="shared" si="7"/>
        <v>37</v>
      </c>
      <c r="E44" s="33"/>
      <c r="F44" s="266">
        <f t="shared" si="8"/>
        <v>4106.8019545757343</v>
      </c>
      <c r="G44" s="266">
        <f t="shared" si="9"/>
        <v>3733.4563223415757</v>
      </c>
      <c r="H44" s="266">
        <f t="shared" si="10"/>
        <v>111.39031636548626</v>
      </c>
      <c r="I44" s="266">
        <f t="shared" si="11"/>
        <v>108.98379964193066</v>
      </c>
      <c r="J44" s="266">
        <f t="shared" si="15"/>
        <v>2.4065167235555975</v>
      </c>
      <c r="K44" s="266"/>
      <c r="L44" s="266">
        <f t="shared" si="12"/>
        <v>4106.8019545757343</v>
      </c>
      <c r="M44" s="266">
        <f t="shared" si="13"/>
        <v>3733.4563223415757</v>
      </c>
      <c r="N44" s="266">
        <f t="shared" si="16"/>
        <v>63.322066215338467</v>
      </c>
      <c r="O44" s="266">
        <f t="shared" si="14"/>
        <v>138.97489234752942</v>
      </c>
      <c r="P44" s="266">
        <f t="shared" si="17"/>
        <v>-75.652826132190953</v>
      </c>
      <c r="Q44" s="264"/>
      <c r="R44" s="264">
        <f t="shared" si="19"/>
        <v>4106.8019545757343</v>
      </c>
      <c r="S44" s="264">
        <f t="shared" si="20"/>
        <v>3733.4563223415757</v>
      </c>
      <c r="T44" s="264">
        <f t="shared" si="21"/>
        <v>87.356191290412369</v>
      </c>
      <c r="U44" s="264">
        <f t="shared" si="22"/>
        <v>123.97934599473004</v>
      </c>
      <c r="V44" s="266">
        <f t="shared" si="18"/>
        <v>-36.62315470431767</v>
      </c>
    </row>
    <row r="45" spans="2:22">
      <c r="B45" s="33"/>
      <c r="C45" s="33"/>
      <c r="D45">
        <f t="shared" si="7"/>
        <v>38</v>
      </c>
      <c r="E45" s="33"/>
      <c r="F45" s="266">
        <f t="shared" si="8"/>
        <v>4312.1420523045208</v>
      </c>
      <c r="G45" s="266">
        <f t="shared" si="9"/>
        <v>3920.1291384586548</v>
      </c>
      <c r="H45" s="266">
        <f t="shared" si="10"/>
        <v>116.92983218376058</v>
      </c>
      <c r="I45" s="266">
        <f t="shared" si="11"/>
        <v>111.93298962402721</v>
      </c>
      <c r="J45" s="266">
        <f t="shared" si="15"/>
        <v>4.9968425597333663</v>
      </c>
      <c r="K45" s="266"/>
      <c r="L45" s="266">
        <f t="shared" si="12"/>
        <v>4312.1420523045208</v>
      </c>
      <c r="M45" s="266">
        <f t="shared" si="13"/>
        <v>3920.1291384586548</v>
      </c>
      <c r="N45" s="266">
        <f t="shared" si="16"/>
        <v>66.458169526105394</v>
      </c>
      <c r="O45" s="266">
        <f t="shared" si="14"/>
        <v>142.17363696490588</v>
      </c>
      <c r="P45" s="266">
        <f t="shared" si="17"/>
        <v>-75.715467438800488</v>
      </c>
      <c r="Q45" s="264"/>
      <c r="R45" s="264">
        <f t="shared" si="19"/>
        <v>4312.1420523045208</v>
      </c>
      <c r="S45" s="264">
        <f t="shared" si="20"/>
        <v>3920.1291384586548</v>
      </c>
      <c r="T45" s="264">
        <f t="shared" si="21"/>
        <v>91.694000854932995</v>
      </c>
      <c r="U45" s="264">
        <f t="shared" si="22"/>
        <v>127.05331329446655</v>
      </c>
      <c r="V45" s="266">
        <f t="shared" si="18"/>
        <v>-35.359312439533554</v>
      </c>
    </row>
    <row r="46" spans="2:22">
      <c r="B46" s="33"/>
      <c r="C46" s="33"/>
      <c r="D46">
        <f t="shared" si="7"/>
        <v>39</v>
      </c>
      <c r="E46" s="33"/>
      <c r="F46" s="266">
        <f t="shared" si="8"/>
        <v>4527.7491549197466</v>
      </c>
      <c r="G46" s="266">
        <f t="shared" si="9"/>
        <v>4116.1355953815873</v>
      </c>
      <c r="H46" s="266">
        <f t="shared" si="10"/>
        <v>122.7463237929486</v>
      </c>
      <c r="I46" s="266">
        <f t="shared" si="11"/>
        <v>115.02963910522857</v>
      </c>
      <c r="J46" s="266">
        <f t="shared" si="15"/>
        <v>7.7166846877200328</v>
      </c>
      <c r="K46" s="266"/>
      <c r="L46" s="266">
        <f t="shared" si="12"/>
        <v>4527.7491549197466</v>
      </c>
      <c r="M46" s="266">
        <f t="shared" si="13"/>
        <v>4116.1355953815873</v>
      </c>
      <c r="N46" s="266">
        <f t="shared" si="16"/>
        <v>69.751078002410651</v>
      </c>
      <c r="O46" s="266">
        <f t="shared" si="14"/>
        <v>145.53231881315116</v>
      </c>
      <c r="P46" s="266">
        <f t="shared" si="17"/>
        <v>-75.781240810740513</v>
      </c>
      <c r="Q46" s="264"/>
      <c r="R46" s="264">
        <f t="shared" si="19"/>
        <v>4527.7491549197466</v>
      </c>
      <c r="S46" s="264">
        <f t="shared" si="20"/>
        <v>4116.1355953815873</v>
      </c>
      <c r="T46" s="264">
        <f t="shared" si="21"/>
        <v>96.248700897679626</v>
      </c>
      <c r="U46" s="264">
        <f t="shared" si="22"/>
        <v>130.28097895918987</v>
      </c>
      <c r="V46" s="266">
        <f t="shared" si="18"/>
        <v>-34.03227806151024</v>
      </c>
    </row>
    <row r="47" spans="2:22">
      <c r="B47" s="33"/>
      <c r="C47" s="33"/>
      <c r="D47">
        <f t="shared" si="7"/>
        <v>40</v>
      </c>
      <c r="E47" s="33"/>
      <c r="F47" s="266">
        <f t="shared" si="8"/>
        <v>4754.136612665734</v>
      </c>
      <c r="G47" s="266">
        <f t="shared" si="9"/>
        <v>4321.9423751506665</v>
      </c>
      <c r="H47" s="266">
        <f t="shared" si="10"/>
        <v>128.85363998259604</v>
      </c>
      <c r="I47" s="266">
        <f t="shared" si="11"/>
        <v>118.28112106048999</v>
      </c>
      <c r="J47" s="266">
        <f t="shared" si="15"/>
        <v>10.572518922106042</v>
      </c>
      <c r="K47" s="266"/>
      <c r="L47" s="266">
        <f t="shared" si="12"/>
        <v>4754.136612665734</v>
      </c>
      <c r="M47" s="266">
        <f t="shared" si="13"/>
        <v>4321.9423751506665</v>
      </c>
      <c r="N47" s="266">
        <f t="shared" si="16"/>
        <v>73.208631902531181</v>
      </c>
      <c r="O47" s="266">
        <f t="shared" si="14"/>
        <v>149.05893475380873</v>
      </c>
      <c r="P47" s="266">
        <f t="shared" si="17"/>
        <v>-75.850302851277547</v>
      </c>
      <c r="Q47" s="264"/>
      <c r="R47" s="264">
        <f t="shared" si="19"/>
        <v>4754.136612665734</v>
      </c>
      <c r="S47" s="264">
        <f t="shared" si="20"/>
        <v>4321.9423751506665</v>
      </c>
      <c r="T47" s="264">
        <f t="shared" si="21"/>
        <v>101.03113594256361</v>
      </c>
      <c r="U47" s="264">
        <f t="shared" si="22"/>
        <v>133.67002790714935</v>
      </c>
      <c r="V47" s="266">
        <f t="shared" si="18"/>
        <v>-32.638891964585738</v>
      </c>
    </row>
    <row r="48" spans="2:22">
      <c r="B48" s="33"/>
      <c r="C48" s="33"/>
      <c r="D48">
        <f t="shared" si="7"/>
        <v>41</v>
      </c>
      <c r="E48" s="33"/>
      <c r="F48" s="266">
        <f t="shared" si="8"/>
        <v>4991.8434432990207</v>
      </c>
      <c r="G48" s="266">
        <f t="shared" si="9"/>
        <v>4538.0394939081998</v>
      </c>
      <c r="H48" s="266">
        <f t="shared" si="10"/>
        <v>135.26632198172581</v>
      </c>
      <c r="I48" s="266">
        <f t="shared" si="11"/>
        <v>121.69517711351449</v>
      </c>
      <c r="J48" s="266">
        <f t="shared" si="15"/>
        <v>13.57114486821132</v>
      </c>
      <c r="K48" s="266"/>
      <c r="L48" s="266">
        <f t="shared" si="12"/>
        <v>4991.8434432990207</v>
      </c>
      <c r="M48" s="266">
        <f t="shared" si="13"/>
        <v>4538.0394939081998</v>
      </c>
      <c r="N48" s="266">
        <f t="shared" si="16"/>
        <v>76.839063497657747</v>
      </c>
      <c r="O48" s="266">
        <f t="shared" si="14"/>
        <v>152.76188149149914</v>
      </c>
      <c r="P48" s="266">
        <f t="shared" si="17"/>
        <v>-75.922817993841392</v>
      </c>
      <c r="Q48" s="264"/>
      <c r="R48" s="264">
        <f t="shared" si="19"/>
        <v>4991.8434432990207</v>
      </c>
      <c r="S48" s="264">
        <f t="shared" si="20"/>
        <v>4538.0394939081998</v>
      </c>
      <c r="T48" s="264">
        <f t="shared" si="21"/>
        <v>106.05269273969178</v>
      </c>
      <c r="U48" s="264">
        <f t="shared" si="22"/>
        <v>137.22852930250681</v>
      </c>
      <c r="V48" s="266">
        <f t="shared" si="18"/>
        <v>-31.175836562815036</v>
      </c>
    </row>
    <row r="49" spans="2:23">
      <c r="B49" s="33"/>
      <c r="C49" s="33"/>
      <c r="D49">
        <f t="shared" si="7"/>
        <v>42</v>
      </c>
      <c r="E49" s="33"/>
      <c r="F49" s="266">
        <f t="shared" si="8"/>
        <v>5241.4356154639718</v>
      </c>
      <c r="G49" s="266">
        <f t="shared" si="9"/>
        <v>4764.9414686036098</v>
      </c>
      <c r="H49" s="266">
        <f t="shared" si="10"/>
        <v>141.9996380808121</v>
      </c>
      <c r="I49" s="266">
        <f t="shared" si="11"/>
        <v>125.27993596919021</v>
      </c>
      <c r="J49" s="266">
        <f t="shared" si="15"/>
        <v>16.719702111621899</v>
      </c>
      <c r="K49" s="266"/>
      <c r="L49" s="266">
        <f t="shared" si="12"/>
        <v>5241.4356154639718</v>
      </c>
      <c r="M49" s="266">
        <f t="shared" si="13"/>
        <v>4764.9414686036098</v>
      </c>
      <c r="N49" s="266">
        <f t="shared" si="16"/>
        <v>80.651016672540635</v>
      </c>
      <c r="O49" s="266">
        <f t="shared" si="14"/>
        <v>156.64997556607412</v>
      </c>
      <c r="P49" s="266">
        <f t="shared" si="17"/>
        <v>-75.998958893533484</v>
      </c>
      <c r="Q49" s="264"/>
      <c r="R49" s="264">
        <f t="shared" si="19"/>
        <v>5241.4356154639718</v>
      </c>
      <c r="S49" s="264">
        <f t="shared" si="20"/>
        <v>4764.9414686036098</v>
      </c>
      <c r="T49" s="264">
        <f t="shared" si="21"/>
        <v>111.32532737667637</v>
      </c>
      <c r="U49" s="264">
        <f t="shared" si="22"/>
        <v>140.96495576763215</v>
      </c>
      <c r="V49" s="266">
        <f t="shared" si="18"/>
        <v>-29.639628390955778</v>
      </c>
    </row>
    <row r="50" spans="2:23">
      <c r="B50" s="33"/>
      <c r="C50" s="33"/>
      <c r="D50">
        <f t="shared" si="7"/>
        <v>43</v>
      </c>
      <c r="E50" s="33"/>
      <c r="F50" s="266">
        <f t="shared" ref="F50:F67" si="23">F49*(1+$B$3)</f>
        <v>5503.5073962371707</v>
      </c>
      <c r="G50" s="266">
        <f t="shared" ref="G50:G67" si="24">G49*(1+$B$3)</f>
        <v>5003.1885420337903</v>
      </c>
      <c r="H50" s="266">
        <f t="shared" ref="H50:H67" si="25">G50*$B$70+$B$74</f>
        <v>149.06961998485272</v>
      </c>
      <c r="I50" s="266">
        <f t="shared" ref="I50:I67" si="26">-(G50*$C$70+$D$70+$E$70)</f>
        <v>129.04393276764972</v>
      </c>
      <c r="J50" s="266">
        <f t="shared" si="15"/>
        <v>20.025687217203</v>
      </c>
      <c r="K50" s="266"/>
      <c r="L50" s="266">
        <f t="shared" ref="L50:L67" si="27">L49*(1+$B$3)</f>
        <v>5503.5073962371707</v>
      </c>
      <c r="M50" s="266">
        <f t="shared" ref="M50:M67" si="28">M49*(1+$B$3)</f>
        <v>5003.1885420337903</v>
      </c>
      <c r="N50" s="266">
        <f t="shared" si="16"/>
        <v>84.653567506167661</v>
      </c>
      <c r="O50" s="266">
        <f t="shared" ref="O50:O67" si="29">-(M50*$C$71+$D$71+$E$71)</f>
        <v>160.73247434437781</v>
      </c>
      <c r="P50" s="266">
        <f t="shared" si="17"/>
        <v>-76.078906838210145</v>
      </c>
      <c r="Q50" s="264"/>
      <c r="R50" s="264">
        <f t="shared" si="19"/>
        <v>5503.5073962371707</v>
      </c>
      <c r="S50" s="264">
        <f t="shared" si="20"/>
        <v>5003.1885420337903</v>
      </c>
      <c r="T50" s="264">
        <f t="shared" si="21"/>
        <v>116.86159374551019</v>
      </c>
      <c r="U50" s="264">
        <f t="shared" si="22"/>
        <v>144.88820355601376</v>
      </c>
      <c r="V50" s="266">
        <f t="shared" si="18"/>
        <v>-28.026609810503572</v>
      </c>
    </row>
    <row r="51" spans="2:23">
      <c r="B51" s="33"/>
      <c r="C51" s="33"/>
      <c r="D51">
        <f t="shared" si="7"/>
        <v>44</v>
      </c>
      <c r="E51" s="33"/>
      <c r="F51" s="266">
        <f t="shared" si="23"/>
        <v>5778.6827660490299</v>
      </c>
      <c r="G51" s="266">
        <f t="shared" si="24"/>
        <v>5253.3479691354796</v>
      </c>
      <c r="H51" s="266">
        <f t="shared" si="25"/>
        <v>156.49310098409535</v>
      </c>
      <c r="I51" s="266">
        <f t="shared" si="26"/>
        <v>132.9961294060322</v>
      </c>
      <c r="J51" s="266">
        <f t="shared" si="15"/>
        <v>23.496971578063153</v>
      </c>
      <c r="K51" s="266"/>
      <c r="L51" s="266">
        <f t="shared" si="27"/>
        <v>5778.6827660490299</v>
      </c>
      <c r="M51" s="266">
        <f t="shared" si="28"/>
        <v>5253.3479691354796</v>
      </c>
      <c r="N51" s="266">
        <f t="shared" si="16"/>
        <v>88.856245881476042</v>
      </c>
      <c r="O51" s="266">
        <f t="shared" si="29"/>
        <v>165.01909806159671</v>
      </c>
      <c r="P51" s="266">
        <f t="shared" si="17"/>
        <v>-76.162852180120666</v>
      </c>
      <c r="Q51" s="264"/>
      <c r="R51" s="264">
        <f t="shared" si="19"/>
        <v>5778.6827660490299</v>
      </c>
      <c r="S51" s="264">
        <f t="shared" si="20"/>
        <v>5253.3479691354796</v>
      </c>
      <c r="T51" s="264">
        <f t="shared" si="21"/>
        <v>122.6746734327857</v>
      </c>
      <c r="U51" s="264">
        <f t="shared" si="22"/>
        <v>149.00761373381445</v>
      </c>
      <c r="V51" s="266">
        <f t="shared" si="18"/>
        <v>-26.332940301028756</v>
      </c>
    </row>
    <row r="52" spans="2:23">
      <c r="B52" s="33"/>
      <c r="C52" s="33"/>
      <c r="D52">
        <f t="shared" si="7"/>
        <v>45</v>
      </c>
      <c r="E52" s="33"/>
      <c r="F52" s="266">
        <f t="shared" si="23"/>
        <v>6067.6169043514819</v>
      </c>
      <c r="G52" s="266">
        <f t="shared" si="24"/>
        <v>5516.0153675922538</v>
      </c>
      <c r="H52" s="266">
        <f t="shared" si="25"/>
        <v>164.28775603330013</v>
      </c>
      <c r="I52" s="266">
        <f t="shared" si="26"/>
        <v>137.14593587633382</v>
      </c>
      <c r="J52" s="266">
        <f t="shared" si="15"/>
        <v>27.141820156966304</v>
      </c>
      <c r="K52" s="266"/>
      <c r="L52" s="266">
        <f t="shared" si="27"/>
        <v>6067.6169043514819</v>
      </c>
      <c r="M52" s="266">
        <f t="shared" si="28"/>
        <v>5516.0153675922538</v>
      </c>
      <c r="N52" s="266">
        <f t="shared" si="16"/>
        <v>93.269058175549858</v>
      </c>
      <c r="O52" s="266">
        <f t="shared" si="29"/>
        <v>169.52005296467655</v>
      </c>
      <c r="P52" s="266">
        <f t="shared" si="17"/>
        <v>-76.250994789126693</v>
      </c>
      <c r="Q52" s="264"/>
      <c r="R52" s="264">
        <f t="shared" si="19"/>
        <v>6067.6169043514819</v>
      </c>
      <c r="S52" s="264">
        <f t="shared" si="20"/>
        <v>5516.0153675922538</v>
      </c>
      <c r="T52" s="264">
        <f t="shared" si="21"/>
        <v>128.77840710442499</v>
      </c>
      <c r="U52" s="264">
        <f t="shared" si="22"/>
        <v>153.3329944205052</v>
      </c>
      <c r="V52" s="266">
        <f t="shared" si="18"/>
        <v>-24.554587316080216</v>
      </c>
    </row>
    <row r="53" spans="2:23">
      <c r="B53" s="33"/>
      <c r="C53" s="33"/>
      <c r="D53">
        <f t="shared" si="7"/>
        <v>46</v>
      </c>
      <c r="E53" s="33"/>
      <c r="F53" s="266">
        <f t="shared" si="23"/>
        <v>6370.9977495690564</v>
      </c>
      <c r="G53" s="266">
        <f t="shared" si="24"/>
        <v>5791.816135971867</v>
      </c>
      <c r="H53" s="266">
        <f t="shared" si="25"/>
        <v>172.47214383496515</v>
      </c>
      <c r="I53" s="266">
        <f t="shared" si="26"/>
        <v>141.50323267015051</v>
      </c>
      <c r="J53" s="266">
        <f t="shared" si="15"/>
        <v>30.968911164814642</v>
      </c>
      <c r="K53" s="266"/>
      <c r="L53" s="266">
        <f t="shared" si="27"/>
        <v>6370.9977495690564</v>
      </c>
      <c r="M53" s="266">
        <f t="shared" si="28"/>
        <v>5791.816135971867</v>
      </c>
      <c r="N53" s="266">
        <f t="shared" si="16"/>
        <v>97.902511084327358</v>
      </c>
      <c r="O53" s="266">
        <f t="shared" si="29"/>
        <v>174.24605561291037</v>
      </c>
      <c r="P53" s="266">
        <f t="shared" si="17"/>
        <v>-76.34354452858301</v>
      </c>
      <c r="Q53" s="264"/>
      <c r="R53" s="264">
        <f t="shared" si="19"/>
        <v>6370.9977495690564</v>
      </c>
      <c r="S53" s="264">
        <f t="shared" si="20"/>
        <v>5791.816135971867</v>
      </c>
      <c r="T53" s="264">
        <f t="shared" si="21"/>
        <v>135.18732745964627</v>
      </c>
      <c r="U53" s="264">
        <f t="shared" si="22"/>
        <v>157.87464414153044</v>
      </c>
      <c r="V53" s="266">
        <f t="shared" si="18"/>
        <v>-22.68731668188417</v>
      </c>
    </row>
    <row r="54" spans="2:23">
      <c r="B54" s="33"/>
      <c r="C54" s="33"/>
      <c r="D54">
        <f t="shared" si="7"/>
        <v>47</v>
      </c>
      <c r="E54" s="33"/>
      <c r="F54" s="266">
        <f t="shared" si="23"/>
        <v>6689.5476370475099</v>
      </c>
      <c r="G54" s="266">
        <f t="shared" si="24"/>
        <v>6081.4069427704608</v>
      </c>
      <c r="H54" s="266">
        <f t="shared" si="25"/>
        <v>181.06575102671343</v>
      </c>
      <c r="I54" s="266">
        <f t="shared" si="26"/>
        <v>146.07839430365806</v>
      </c>
      <c r="J54" s="266">
        <f t="shared" si="15"/>
        <v>34.98735672305537</v>
      </c>
      <c r="K54" s="266"/>
      <c r="L54" s="266">
        <f t="shared" si="27"/>
        <v>6689.5476370475099</v>
      </c>
      <c r="M54" s="266">
        <f t="shared" si="28"/>
        <v>6081.4069427704608</v>
      </c>
      <c r="N54" s="266">
        <f t="shared" si="16"/>
        <v>102.76763663854373</v>
      </c>
      <c r="O54" s="266">
        <f t="shared" si="29"/>
        <v>179.2083583935559</v>
      </c>
      <c r="P54" s="266">
        <f t="shared" si="17"/>
        <v>-76.440721755012163</v>
      </c>
      <c r="Q54" s="264"/>
      <c r="R54" s="264">
        <f t="shared" si="19"/>
        <v>6689.5476370475099</v>
      </c>
      <c r="S54" s="264">
        <f t="shared" si="20"/>
        <v>6081.4069427704608</v>
      </c>
      <c r="T54" s="264">
        <f t="shared" si="21"/>
        <v>141.9166938326286</v>
      </c>
      <c r="U54" s="264">
        <f t="shared" si="22"/>
        <v>162.64337634860698</v>
      </c>
      <c r="V54" s="266">
        <f t="shared" si="18"/>
        <v>-20.726682515978382</v>
      </c>
    </row>
    <row r="55" spans="2:23">
      <c r="B55" s="33"/>
      <c r="C55" s="33"/>
      <c r="D55">
        <f t="shared" si="7"/>
        <v>48</v>
      </c>
      <c r="E55" s="33"/>
      <c r="F55" s="266">
        <f t="shared" si="23"/>
        <v>7024.0250188998853</v>
      </c>
      <c r="G55" s="266">
        <f t="shared" si="24"/>
        <v>6385.4772899089839</v>
      </c>
      <c r="H55" s="266">
        <f t="shared" si="25"/>
        <v>190.0890385780491</v>
      </c>
      <c r="I55" s="266">
        <f t="shared" si="26"/>
        <v>150.88231401884096</v>
      </c>
      <c r="J55" s="266">
        <f t="shared" si="15"/>
        <v>39.206724559208141</v>
      </c>
      <c r="K55" s="266"/>
      <c r="L55" s="266">
        <f t="shared" si="27"/>
        <v>7024.0250188998853</v>
      </c>
      <c r="M55" s="266">
        <f t="shared" si="28"/>
        <v>6385.4772899089839</v>
      </c>
      <c r="N55" s="266">
        <f t="shared" si="16"/>
        <v>107.87601847047092</v>
      </c>
      <c r="O55" s="266">
        <f t="shared" si="29"/>
        <v>184.41877631323371</v>
      </c>
      <c r="P55" s="266">
        <f t="shared" si="17"/>
        <v>-76.542757842762782</v>
      </c>
      <c r="Q55" s="264"/>
      <c r="R55" s="264">
        <f t="shared" si="19"/>
        <v>7024.0250188998853</v>
      </c>
      <c r="S55" s="264">
        <f t="shared" si="20"/>
        <v>6385.4772899089839</v>
      </c>
      <c r="T55" s="264">
        <f t="shared" si="21"/>
        <v>148.98252852426</v>
      </c>
      <c r="U55" s="264">
        <f t="shared" si="22"/>
        <v>167.65054516603732</v>
      </c>
      <c r="V55" s="266">
        <f t="shared" si="18"/>
        <v>-18.668016641777314</v>
      </c>
    </row>
    <row r="56" spans="2:23">
      <c r="B56" s="33"/>
      <c r="C56" s="33"/>
      <c r="D56">
        <f t="shared" si="7"/>
        <v>49</v>
      </c>
      <c r="E56" s="33"/>
      <c r="F56" s="266">
        <f t="shared" si="23"/>
        <v>7375.2262698448794</v>
      </c>
      <c r="G56" s="266">
        <f t="shared" si="24"/>
        <v>6704.7511544044337</v>
      </c>
      <c r="H56" s="266">
        <f t="shared" si="25"/>
        <v>199.56349050695155</v>
      </c>
      <c r="I56" s="266">
        <f t="shared" si="26"/>
        <v>155.92642971978302</v>
      </c>
      <c r="J56" s="266">
        <f t="shared" si="15"/>
        <v>43.637060787168537</v>
      </c>
      <c r="K56" s="266"/>
      <c r="L56" s="266">
        <f t="shared" si="27"/>
        <v>7375.2262698448794</v>
      </c>
      <c r="M56" s="266">
        <f t="shared" si="28"/>
        <v>6704.7511544044337</v>
      </c>
      <c r="N56" s="266">
        <f t="shared" si="16"/>
        <v>113.23981939399448</v>
      </c>
      <c r="O56" s="266">
        <f t="shared" si="29"/>
        <v>189.8897151288954</v>
      </c>
      <c r="P56" s="266">
        <f t="shared" si="17"/>
        <v>-76.649895734900923</v>
      </c>
      <c r="Q56" s="264"/>
      <c r="R56" s="264">
        <f t="shared" si="19"/>
        <v>7375.2262698448794</v>
      </c>
      <c r="S56" s="264">
        <f t="shared" si="20"/>
        <v>6704.7511544044337</v>
      </c>
      <c r="T56" s="264">
        <f t="shared" si="21"/>
        <v>156.40165495047302</v>
      </c>
      <c r="U56" s="264">
        <f t="shared" si="22"/>
        <v>172.9080724243392</v>
      </c>
      <c r="V56" s="266">
        <f t="shared" si="18"/>
        <v>-16.506417473866179</v>
      </c>
    </row>
    <row r="57" spans="2:23">
      <c r="B57" s="33"/>
      <c r="C57" s="33"/>
      <c r="D57">
        <f t="shared" si="7"/>
        <v>50</v>
      </c>
      <c r="E57" s="33"/>
      <c r="F57" s="266">
        <f t="shared" si="23"/>
        <v>7743.9875833371234</v>
      </c>
      <c r="G57" s="266">
        <f t="shared" si="24"/>
        <v>7039.9887121246556</v>
      </c>
      <c r="H57" s="266">
        <f t="shared" si="25"/>
        <v>209.51166503229916</v>
      </c>
      <c r="I57" s="266">
        <f t="shared" si="26"/>
        <v>161.22275120577217</v>
      </c>
      <c r="J57" s="266">
        <f t="shared" si="15"/>
        <v>48.288913826526993</v>
      </c>
      <c r="K57" s="266"/>
      <c r="L57" s="266">
        <f t="shared" si="27"/>
        <v>7743.9875833371234</v>
      </c>
      <c r="M57" s="266">
        <f t="shared" si="28"/>
        <v>7039.9887121246556</v>
      </c>
      <c r="N57" s="266">
        <f t="shared" si="16"/>
        <v>118.87181036369421</v>
      </c>
      <c r="O57" s="266">
        <f t="shared" si="29"/>
        <v>195.63420088534019</v>
      </c>
      <c r="P57" s="266">
        <f t="shared" si="17"/>
        <v>-76.762390521645983</v>
      </c>
      <c r="Q57" s="264"/>
      <c r="R57" s="264">
        <f t="shared" si="19"/>
        <v>7743.9875833371234</v>
      </c>
      <c r="S57" s="264">
        <f t="shared" si="20"/>
        <v>7039.9887121246556</v>
      </c>
      <c r="T57" s="264">
        <f t="shared" si="21"/>
        <v>164.1917376979967</v>
      </c>
      <c r="U57" s="264">
        <f t="shared" si="22"/>
        <v>178.42847604555618</v>
      </c>
      <c r="V57" s="266">
        <f t="shared" si="18"/>
        <v>-14.236738347559481</v>
      </c>
    </row>
    <row r="58" spans="2:23">
      <c r="B58" s="33"/>
      <c r="C58" s="33"/>
      <c r="D58">
        <f t="shared" si="7"/>
        <v>51</v>
      </c>
      <c r="E58" s="33"/>
      <c r="F58" s="266">
        <f t="shared" si="23"/>
        <v>8131.1869625039799</v>
      </c>
      <c r="G58" s="266">
        <f t="shared" si="24"/>
        <v>7391.9881477308891</v>
      </c>
      <c r="H58" s="266">
        <f t="shared" si="25"/>
        <v>219.95724828391414</v>
      </c>
      <c r="I58" s="266">
        <f t="shared" si="26"/>
        <v>166.78388876606078</v>
      </c>
      <c r="J58" s="266">
        <f t="shared" si="15"/>
        <v>53.173359517853356</v>
      </c>
      <c r="K58" s="266"/>
      <c r="L58" s="266">
        <f t="shared" si="27"/>
        <v>8131.1869625039799</v>
      </c>
      <c r="M58" s="266">
        <f t="shared" si="28"/>
        <v>7391.9881477308891</v>
      </c>
      <c r="N58" s="266">
        <f t="shared" si="16"/>
        <v>124.78540088187893</v>
      </c>
      <c r="O58" s="266">
        <f t="shared" si="29"/>
        <v>201.66591092960721</v>
      </c>
      <c r="P58" s="266">
        <f t="shared" si="17"/>
        <v>-76.880510047728279</v>
      </c>
      <c r="Q58" s="264"/>
      <c r="R58" s="264">
        <f t="shared" si="19"/>
        <v>8131.1869625039799</v>
      </c>
      <c r="S58" s="264">
        <f t="shared" si="20"/>
        <v>7391.9881477308891</v>
      </c>
      <c r="T58" s="264">
        <f t="shared" si="21"/>
        <v>172.37132458289653</v>
      </c>
      <c r="U58" s="264">
        <f t="shared" si="22"/>
        <v>184.224899847834</v>
      </c>
      <c r="V58" s="266">
        <f t="shared" si="18"/>
        <v>-11.853575264937461</v>
      </c>
    </row>
    <row r="59" spans="2:23">
      <c r="B59" s="33"/>
      <c r="C59" s="33"/>
      <c r="D59">
        <f t="shared" si="7"/>
        <v>52</v>
      </c>
      <c r="E59" s="33"/>
      <c r="F59" s="266">
        <f t="shared" si="23"/>
        <v>8537.7463106291798</v>
      </c>
      <c r="G59" s="266">
        <f t="shared" si="24"/>
        <v>7761.587555117434</v>
      </c>
      <c r="H59" s="266">
        <f t="shared" si="25"/>
        <v>230.92511069810985</v>
      </c>
      <c r="I59" s="266">
        <f t="shared" si="26"/>
        <v>172.62308320436384</v>
      </c>
      <c r="J59" s="266">
        <f t="shared" si="15"/>
        <v>58.30202749374601</v>
      </c>
      <c r="K59" s="266"/>
      <c r="L59" s="266">
        <f t="shared" si="27"/>
        <v>8537.7463106291798</v>
      </c>
      <c r="M59" s="266">
        <f t="shared" si="28"/>
        <v>7761.587555117434</v>
      </c>
      <c r="N59" s="266">
        <f t="shared" si="16"/>
        <v>130.99467092597288</v>
      </c>
      <c r="O59" s="266">
        <f t="shared" si="29"/>
        <v>207.99920647608758</v>
      </c>
      <c r="P59" s="266">
        <f t="shared" si="17"/>
        <v>-77.004535550114696</v>
      </c>
      <c r="Q59" s="264"/>
      <c r="R59" s="264">
        <f t="shared" si="19"/>
        <v>8537.7463106291798</v>
      </c>
      <c r="S59" s="264">
        <f t="shared" si="20"/>
        <v>7761.587555117434</v>
      </c>
      <c r="T59" s="264">
        <f t="shared" si="21"/>
        <v>180.95989081204135</v>
      </c>
      <c r="U59" s="264">
        <f t="shared" si="22"/>
        <v>190.31114484022572</v>
      </c>
      <c r="V59" s="266">
        <f t="shared" si="18"/>
        <v>-9.3512540281843712</v>
      </c>
    </row>
    <row r="60" spans="2:23">
      <c r="B60" s="33"/>
      <c r="C60" s="33"/>
      <c r="D60" s="69">
        <f t="shared" si="7"/>
        <v>53</v>
      </c>
      <c r="E60" s="33"/>
      <c r="F60" s="266">
        <f t="shared" si="23"/>
        <v>8964.6336261606393</v>
      </c>
      <c r="G60" s="266">
        <f t="shared" si="24"/>
        <v>8149.666932873306</v>
      </c>
      <c r="H60" s="266">
        <f t="shared" si="25"/>
        <v>242.44136623301534</v>
      </c>
      <c r="I60" s="266">
        <f t="shared" si="26"/>
        <v>178.75423736458202</v>
      </c>
      <c r="J60" s="266">
        <f t="shared" si="15"/>
        <v>63.687128868433319</v>
      </c>
      <c r="K60" s="266"/>
      <c r="L60" s="266">
        <f t="shared" si="27"/>
        <v>8964.6336261606393</v>
      </c>
      <c r="M60" s="266">
        <f t="shared" si="28"/>
        <v>8149.666932873306</v>
      </c>
      <c r="N60" s="266">
        <f t="shared" si="16"/>
        <v>137.51440447227154</v>
      </c>
      <c r="O60" s="266">
        <f t="shared" si="29"/>
        <v>214.64916679989196</v>
      </c>
      <c r="P60" s="266">
        <f t="shared" si="17"/>
        <v>-77.134762327620422</v>
      </c>
      <c r="Q60" s="264"/>
      <c r="R60" s="264">
        <f t="shared" si="19"/>
        <v>8964.6336261606393</v>
      </c>
      <c r="S60" s="264">
        <f t="shared" si="20"/>
        <v>8149.666932873306</v>
      </c>
      <c r="T60" s="264">
        <f t="shared" si="21"/>
        <v>189.97788535264345</v>
      </c>
      <c r="U60" s="264">
        <f t="shared" si="22"/>
        <v>196.70170208223698</v>
      </c>
      <c r="V60" s="266">
        <f t="shared" si="18"/>
        <v>-6.7238167295935227</v>
      </c>
    </row>
    <row r="61" spans="2:23">
      <c r="B61" s="33"/>
      <c r="C61" s="33"/>
      <c r="D61">
        <f t="shared" si="7"/>
        <v>54</v>
      </c>
      <c r="E61" s="33"/>
      <c r="F61" s="266">
        <f t="shared" si="23"/>
        <v>9412.8653074686717</v>
      </c>
      <c r="G61" s="266">
        <f t="shared" si="24"/>
        <v>8557.1502795169708</v>
      </c>
      <c r="H61" s="266">
        <f t="shared" si="25"/>
        <v>254.53343454466611</v>
      </c>
      <c r="I61" s="266">
        <f t="shared" si="26"/>
        <v>185.19194923281111</v>
      </c>
      <c r="J61" s="266">
        <f t="shared" si="15"/>
        <v>69.341485311854996</v>
      </c>
      <c r="K61" s="266"/>
      <c r="L61" s="266">
        <f t="shared" si="27"/>
        <v>9412.8653074686717</v>
      </c>
      <c r="M61" s="266">
        <f t="shared" si="28"/>
        <v>8557.1502795169708</v>
      </c>
      <c r="N61" s="266">
        <f t="shared" si="16"/>
        <v>144.3601246958851</v>
      </c>
      <c r="O61" s="266">
        <f t="shared" si="29"/>
        <v>221.63162513988655</v>
      </c>
      <c r="P61" s="266">
        <f t="shared" si="17"/>
        <v>-77.271500444001447</v>
      </c>
      <c r="Q61" s="264"/>
      <c r="R61" s="264">
        <f t="shared" si="19"/>
        <v>9412.8653074686717</v>
      </c>
      <c r="S61" s="264">
        <f t="shared" si="20"/>
        <v>8557.1502795169708</v>
      </c>
      <c r="T61" s="264">
        <f t="shared" si="21"/>
        <v>199.44677962027561</v>
      </c>
      <c r="U61" s="264">
        <f t="shared" si="22"/>
        <v>203.41178718634882</v>
      </c>
      <c r="V61" s="266">
        <f t="shared" si="18"/>
        <v>-3.9650075660732114</v>
      </c>
    </row>
    <row r="62" spans="2:23">
      <c r="B62" s="33"/>
      <c r="C62" s="33"/>
      <c r="D62" s="2">
        <f t="shared" si="7"/>
        <v>55</v>
      </c>
      <c r="E62" s="33"/>
      <c r="F62" s="266">
        <f t="shared" si="23"/>
        <v>9883.5085728421054</v>
      </c>
      <c r="G62" s="266">
        <f t="shared" si="24"/>
        <v>8985.0077934928195</v>
      </c>
      <c r="H62" s="266">
        <f t="shared" si="25"/>
        <v>267.23010627189944</v>
      </c>
      <c r="I62" s="266">
        <f t="shared" si="26"/>
        <v>191.95154669445168</v>
      </c>
      <c r="J62" s="266">
        <f t="shared" si="15"/>
        <v>75.278559577447766</v>
      </c>
      <c r="K62" s="266"/>
      <c r="L62" s="266">
        <f t="shared" si="27"/>
        <v>9883.5085728421054</v>
      </c>
      <c r="M62" s="266">
        <f t="shared" si="28"/>
        <v>8985.0077934928195</v>
      </c>
      <c r="N62" s="266">
        <f t="shared" si="16"/>
        <v>151.54813093067935</v>
      </c>
      <c r="O62" s="266">
        <f t="shared" si="29"/>
        <v>228.96320639688088</v>
      </c>
      <c r="P62" s="266">
        <f t="shared" si="17"/>
        <v>-77.415075466201529</v>
      </c>
      <c r="Q62" s="264"/>
      <c r="R62" s="264">
        <f t="shared" si="19"/>
        <v>9883.5085728421054</v>
      </c>
      <c r="S62" s="264">
        <f t="shared" si="20"/>
        <v>8985.0077934928195</v>
      </c>
      <c r="T62" s="264">
        <f t="shared" si="21"/>
        <v>209.3891186012894</v>
      </c>
      <c r="U62" s="264">
        <f t="shared" si="22"/>
        <v>210.45737654566628</v>
      </c>
      <c r="V62" s="266">
        <f t="shared" si="18"/>
        <v>-1.0682579443768816</v>
      </c>
      <c r="W62" s="33">
        <f>SUM(V8:V62)</f>
        <v>-2241.0643680632934</v>
      </c>
    </row>
    <row r="63" spans="2:23">
      <c r="B63" s="33"/>
      <c r="C63" s="33"/>
      <c r="D63">
        <f t="shared" si="7"/>
        <v>56</v>
      </c>
      <c r="E63" s="33"/>
      <c r="F63" s="266">
        <f t="shared" si="23"/>
        <v>10377.684001484211</v>
      </c>
      <c r="G63" s="266">
        <f t="shared" si="24"/>
        <v>9434.2581831674615</v>
      </c>
      <c r="H63" s="266">
        <f t="shared" si="25"/>
        <v>280.56161158549446</v>
      </c>
      <c r="I63" s="266">
        <f t="shared" si="26"/>
        <v>199.04912402917429</v>
      </c>
      <c r="J63" s="266">
        <f t="shared" si="15"/>
        <v>81.512487556320167</v>
      </c>
      <c r="K63" s="266"/>
      <c r="L63" s="266">
        <f t="shared" si="27"/>
        <v>10377.684001484211</v>
      </c>
      <c r="M63" s="266">
        <f t="shared" si="28"/>
        <v>9434.2581831674615</v>
      </c>
      <c r="N63" s="266">
        <f t="shared" si="16"/>
        <v>159.09553747721333</v>
      </c>
      <c r="O63" s="266">
        <f t="shared" si="29"/>
        <v>236.66136671672493</v>
      </c>
      <c r="P63" s="266">
        <f t="shared" si="17"/>
        <v>-77.565829239511601</v>
      </c>
      <c r="Q63" s="264"/>
      <c r="R63" s="264">
        <f t="shared" si="19"/>
        <v>10377.684001484211</v>
      </c>
      <c r="S63" s="264">
        <f t="shared" si="20"/>
        <v>9434.2581831674615</v>
      </c>
      <c r="T63" s="264">
        <f t="shared" si="21"/>
        <v>219.82857453135389</v>
      </c>
      <c r="U63" s="264">
        <f t="shared" si="22"/>
        <v>217.85524537294961</v>
      </c>
      <c r="V63" s="266">
        <f t="shared" si="18"/>
        <v>1.9733291584042831</v>
      </c>
      <c r="W63" s="33">
        <f>R63*0.15</f>
        <v>1556.6526002226317</v>
      </c>
    </row>
    <row r="64" spans="2:23">
      <c r="B64" s="33"/>
      <c r="C64" s="33"/>
      <c r="D64">
        <f t="shared" si="7"/>
        <v>57</v>
      </c>
      <c r="E64" s="33"/>
      <c r="F64" s="266">
        <f t="shared" si="23"/>
        <v>10896.568201558423</v>
      </c>
      <c r="G64" s="266">
        <f t="shared" si="24"/>
        <v>9905.9710923258353</v>
      </c>
      <c r="H64" s="266">
        <f t="shared" si="25"/>
        <v>294.55969216476916</v>
      </c>
      <c r="I64" s="266">
        <f t="shared" si="26"/>
        <v>206.50158023063301</v>
      </c>
      <c r="J64" s="266">
        <f t="shared" si="15"/>
        <v>88.05811193413615</v>
      </c>
      <c r="K64" s="266"/>
      <c r="L64" s="266">
        <f t="shared" si="27"/>
        <v>10896.568201558423</v>
      </c>
      <c r="M64" s="266">
        <f t="shared" si="28"/>
        <v>9905.9710923258353</v>
      </c>
      <c r="N64" s="266">
        <f t="shared" si="16"/>
        <v>167.02031435107401</v>
      </c>
      <c r="O64" s="266">
        <f t="shared" si="29"/>
        <v>244.74443505256119</v>
      </c>
      <c r="P64" s="266">
        <f t="shared" si="17"/>
        <v>-77.72412070148718</v>
      </c>
      <c r="Q64" s="264"/>
      <c r="R64" s="264">
        <f t="shared" si="19"/>
        <v>10896.568201558423</v>
      </c>
      <c r="S64" s="264">
        <f t="shared" si="20"/>
        <v>9905.9710923258353</v>
      </c>
      <c r="T64" s="264">
        <f t="shared" si="21"/>
        <v>230.79000325792157</v>
      </c>
      <c r="U64" s="264">
        <f t="shared" si="22"/>
        <v>225.6230076415971</v>
      </c>
      <c r="V64" s="266">
        <f t="shared" si="18"/>
        <v>5.1669956163244706</v>
      </c>
    </row>
    <row r="65" spans="1:22">
      <c r="B65" s="33"/>
      <c r="C65" s="33"/>
      <c r="D65">
        <f t="shared" si="7"/>
        <v>58</v>
      </c>
      <c r="E65" s="33"/>
      <c r="F65" s="266">
        <f t="shared" si="23"/>
        <v>11441.396611636344</v>
      </c>
      <c r="G65" s="266">
        <f t="shared" si="24"/>
        <v>10401.269646942128</v>
      </c>
      <c r="H65" s="266">
        <f t="shared" si="25"/>
        <v>309.25767677300769</v>
      </c>
      <c r="I65" s="266">
        <f t="shared" si="26"/>
        <v>214.32665924216468</v>
      </c>
      <c r="J65" s="266">
        <f t="shared" si="15"/>
        <v>94.931017530843008</v>
      </c>
      <c r="K65" s="266"/>
      <c r="L65" s="266">
        <f t="shared" si="27"/>
        <v>11441.396611636344</v>
      </c>
      <c r="M65" s="266">
        <f t="shared" si="28"/>
        <v>10401.269646942128</v>
      </c>
      <c r="N65" s="266">
        <f t="shared" si="16"/>
        <v>175.34133006862774</v>
      </c>
      <c r="O65" s="266">
        <f t="shared" si="29"/>
        <v>253.23165680518926</v>
      </c>
      <c r="P65" s="266">
        <f t="shared" si="17"/>
        <v>-77.890326736561519</v>
      </c>
      <c r="Q65" s="264"/>
      <c r="R65" s="264">
        <f t="shared" si="19"/>
        <v>11441.396611636344</v>
      </c>
      <c r="S65" s="264">
        <f t="shared" si="20"/>
        <v>10401.269646942128</v>
      </c>
      <c r="T65" s="264">
        <f t="shared" si="21"/>
        <v>242.2995034208177</v>
      </c>
      <c r="U65" s="264">
        <f t="shared" si="22"/>
        <v>233.77915802367698</v>
      </c>
      <c r="V65" s="266">
        <f t="shared" si="18"/>
        <v>8.5203453971407157</v>
      </c>
    </row>
    <row r="66" spans="1:22">
      <c r="B66" s="33"/>
      <c r="C66" s="33"/>
      <c r="D66">
        <f t="shared" si="7"/>
        <v>59</v>
      </c>
      <c r="E66" s="33"/>
      <c r="F66" s="266">
        <f t="shared" si="23"/>
        <v>12013.466442218161</v>
      </c>
      <c r="G66" s="266">
        <f t="shared" si="24"/>
        <v>10921.333129289234</v>
      </c>
      <c r="H66" s="266">
        <f t="shared" si="25"/>
        <v>324.69056061165804</v>
      </c>
      <c r="I66" s="266">
        <f t="shared" si="26"/>
        <v>222.54299220427291</v>
      </c>
      <c r="J66" s="266">
        <f t="shared" si="15"/>
        <v>102.14756840738514</v>
      </c>
      <c r="K66" s="266"/>
      <c r="L66" s="266">
        <f t="shared" si="27"/>
        <v>12013.466442218161</v>
      </c>
      <c r="M66" s="266">
        <f t="shared" si="28"/>
        <v>10921.333129289234</v>
      </c>
      <c r="N66" s="266">
        <f t="shared" si="16"/>
        <v>184.07839657205912</v>
      </c>
      <c r="O66" s="266">
        <f t="shared" si="29"/>
        <v>262.14323964544872</v>
      </c>
      <c r="P66" s="266">
        <f t="shared" si="17"/>
        <v>-78.064843073389596</v>
      </c>
      <c r="Q66" s="264"/>
      <c r="R66" s="264">
        <f t="shared" si="19"/>
        <v>12013.466442218161</v>
      </c>
      <c r="S66" s="264">
        <f t="shared" si="20"/>
        <v>10921.333129289234</v>
      </c>
      <c r="T66" s="264">
        <f t="shared" si="21"/>
        <v>254.38447859185857</v>
      </c>
      <c r="U66" s="264">
        <f t="shared" si="22"/>
        <v>242.3431159248608</v>
      </c>
      <c r="V66" s="266">
        <f t="shared" si="18"/>
        <v>12.04136266699777</v>
      </c>
    </row>
    <row r="67" spans="1:22">
      <c r="B67" s="33"/>
      <c r="C67" s="33"/>
      <c r="D67">
        <f t="shared" si="7"/>
        <v>60</v>
      </c>
      <c r="E67" s="33"/>
      <c r="F67" s="266">
        <f t="shared" si="23"/>
        <v>12614.139764329069</v>
      </c>
      <c r="G67" s="266">
        <f t="shared" si="24"/>
        <v>11467.399785753696</v>
      </c>
      <c r="H67" s="266">
        <f t="shared" si="25"/>
        <v>340.89508864224098</v>
      </c>
      <c r="I67" s="266">
        <f t="shared" si="26"/>
        <v>231.17014181448656</v>
      </c>
      <c r="J67" s="266">
        <f t="shared" si="15"/>
        <v>109.72494682775442</v>
      </c>
      <c r="K67" s="266"/>
      <c r="L67" s="266">
        <f t="shared" si="27"/>
        <v>12614.139764329069</v>
      </c>
      <c r="M67" s="266">
        <f t="shared" si="28"/>
        <v>11467.399785753696</v>
      </c>
      <c r="N67" s="266">
        <f t="shared" si="16"/>
        <v>193.25231640066207</v>
      </c>
      <c r="O67" s="266">
        <f t="shared" si="29"/>
        <v>271.5004016277212</v>
      </c>
      <c r="P67" s="266">
        <f t="shared" si="17"/>
        <v>-78.248085227059136</v>
      </c>
      <c r="Q67" s="264"/>
      <c r="R67" s="264">
        <f t="shared" si="19"/>
        <v>12614.139764329069</v>
      </c>
      <c r="S67" s="264">
        <f t="shared" si="20"/>
        <v>11467.399785753696</v>
      </c>
      <c r="T67" s="264">
        <f t="shared" si="21"/>
        <v>267.07370252145154</v>
      </c>
      <c r="U67" s="264">
        <f t="shared" si="22"/>
        <v>251.33527172110388</v>
      </c>
      <c r="V67" s="266">
        <f t="shared" si="18"/>
        <v>15.738430800347658</v>
      </c>
    </row>
    <row r="69" spans="1:22">
      <c r="B69" s="32" t="s">
        <v>132</v>
      </c>
      <c r="C69" s="32" t="s">
        <v>134</v>
      </c>
      <c r="D69" s="32" t="s">
        <v>133</v>
      </c>
      <c r="E69" s="32" t="s">
        <v>123</v>
      </c>
      <c r="G69" s="22"/>
      <c r="H69" s="22"/>
      <c r="I69" s="22"/>
    </row>
    <row r="70" spans="1:22">
      <c r="A70" t="s">
        <v>135</v>
      </c>
      <c r="B70" s="22">
        <f>'Model-3-Low'!P28</f>
        <v>2.9675E-2</v>
      </c>
      <c r="C70" s="59">
        <f>'Model-3-Low'!D49</f>
        <v>-1.5798711582337942E-2</v>
      </c>
      <c r="D70" s="10">
        <f>'Model-3-Low'!L36/1000000</f>
        <v>-40</v>
      </c>
      <c r="E70" s="10">
        <f>'Model-3-Low'!N40/1000000</f>
        <v>-10</v>
      </c>
      <c r="J70" s="10"/>
    </row>
    <row r="71" spans="1:22">
      <c r="A71" t="s">
        <v>136</v>
      </c>
      <c r="B71" s="22">
        <f>'Combined-High'!P28</f>
        <v>1.6799999999999999E-2</v>
      </c>
      <c r="C71" s="59">
        <f>'Combined-High'!D49</f>
        <v>-1.713556737350691E-2</v>
      </c>
      <c r="D71" s="10">
        <f>'Combined-High'!L36/1000000</f>
        <v>-60</v>
      </c>
      <c r="E71" s="10">
        <f>'Combined-High'!N40/1000000</f>
        <v>-15</v>
      </c>
      <c r="J71" s="10"/>
    </row>
    <row r="72" spans="1:22">
      <c r="A72" s="2" t="s">
        <v>137</v>
      </c>
      <c r="B72" s="137">
        <f>AVERAGE(B70:B71)</f>
        <v>2.3237500000000001E-2</v>
      </c>
      <c r="C72" s="137">
        <f>AVERAGE(C70:C71)</f>
        <v>-1.6467139477922426E-2</v>
      </c>
      <c r="D72" s="138">
        <f t="shared" ref="D72" si="30">AVERAGE(D70:D71)</f>
        <v>-50</v>
      </c>
      <c r="E72" s="138">
        <f>AVERAGE(E70:E71)</f>
        <v>-12.5</v>
      </c>
      <c r="J72" s="10"/>
    </row>
    <row r="74" spans="1:22">
      <c r="A74" t="s">
        <v>202</v>
      </c>
      <c r="B74">
        <f>'Model-2-Trends'!B74</f>
        <v>0.6</v>
      </c>
    </row>
  </sheetData>
  <pageMargins left="0.7" right="0.7" top="0.75" bottom="0.75" header="0.3" footer="0.3"/>
  <pageSetup scale="32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C1460-847D-F54A-876B-7A1B675192F3}">
  <sheetPr>
    <tabColor theme="8" tint="-0.499984740745262"/>
  </sheetPr>
  <dimension ref="A1:AG120"/>
  <sheetViews>
    <sheetView showGridLines="0" topLeftCell="A28" zoomScale="85" zoomScaleNormal="85" zoomScaleSheetLayoutView="82" zoomScalePageLayoutView="96" workbookViewId="0">
      <selection activeCell="D85" sqref="D85"/>
    </sheetView>
  </sheetViews>
  <sheetFormatPr defaultColWidth="10.625" defaultRowHeight="15.75" outlineLevelRow="1" outlineLevelCol="1"/>
  <cols>
    <col min="1" max="1" width="3.375" customWidth="1"/>
    <col min="2" max="2" width="36.5" customWidth="1"/>
    <col min="3" max="3" width="3.125" customWidth="1"/>
    <col min="4" max="4" width="14.625" customWidth="1"/>
    <col min="5" max="5" width="2.625" customWidth="1"/>
    <col min="6" max="6" width="14.625" customWidth="1"/>
    <col min="7" max="7" width="2.625" customWidth="1"/>
    <col min="8" max="8" width="14.625" customWidth="1"/>
    <col min="9" max="9" width="2.625" customWidth="1"/>
    <col min="10" max="10" width="12.875" hidden="1" customWidth="1" outlineLevel="1"/>
    <col min="11" max="11" width="2.625" hidden="1" customWidth="1" outlineLevel="1"/>
    <col min="12" max="12" width="15.375" customWidth="1" collapsed="1"/>
    <col min="13" max="13" width="2.375" customWidth="1"/>
    <col min="14" max="14" width="13.875" customWidth="1"/>
    <col min="15" max="15" width="2.875" customWidth="1"/>
    <col min="16" max="16" width="15.875" customWidth="1"/>
    <col min="17" max="18" width="2.875" customWidth="1"/>
    <col min="19" max="19" width="30.625" customWidth="1"/>
    <col min="20" max="20" width="16.5" customWidth="1"/>
    <col min="21" max="21" width="15.375" customWidth="1"/>
    <col min="22" max="22" width="12.375" customWidth="1"/>
    <col min="23" max="23" width="13.5" customWidth="1"/>
    <col min="24" max="24" width="13.875" customWidth="1"/>
    <col min="25" max="25" width="13.5" customWidth="1"/>
    <col min="26" max="26" width="14.875" customWidth="1"/>
    <col min="27" max="27" width="13.375" customWidth="1"/>
    <col min="28" max="29" width="13.625" customWidth="1"/>
    <col min="30" max="30" width="14.875" customWidth="1"/>
    <col min="31" max="31" width="4.5" customWidth="1"/>
    <col min="32" max="32" width="13.625" customWidth="1"/>
    <col min="33" max="33" width="2.625" customWidth="1"/>
    <col min="34" max="34" width="15" customWidth="1"/>
  </cols>
  <sheetData>
    <row r="1" spans="1:23" s="69" customFormat="1" ht="18.75">
      <c r="A1" s="278" t="s">
        <v>255</v>
      </c>
    </row>
    <row r="3" spans="1:23">
      <c r="B3" s="4" t="s">
        <v>213</v>
      </c>
      <c r="S3" s="4" t="s">
        <v>152</v>
      </c>
      <c r="T3" s="4"/>
    </row>
    <row r="4" spans="1:23" s="7" customFormat="1" ht="31.5">
      <c r="D4" s="11" t="s">
        <v>17</v>
      </c>
      <c r="F4" s="11" t="s">
        <v>59</v>
      </c>
      <c r="H4" s="11" t="s">
        <v>87</v>
      </c>
      <c r="J4" s="11"/>
      <c r="L4" s="11" t="s">
        <v>105</v>
      </c>
      <c r="N4" s="11" t="s">
        <v>104</v>
      </c>
      <c r="P4" s="12" t="s">
        <v>3</v>
      </c>
    </row>
    <row r="5" spans="1:23">
      <c r="P5" s="13"/>
      <c r="S5" t="s">
        <v>28</v>
      </c>
      <c r="T5" s="10">
        <f>P6</f>
        <v>1016729436.1661481</v>
      </c>
    </row>
    <row r="6" spans="1:23">
      <c r="B6" t="s">
        <v>28</v>
      </c>
      <c r="D6" s="246">
        <f>D11/(1-D8)</f>
        <v>862944162.43654823</v>
      </c>
      <c r="E6" s="244"/>
      <c r="F6" s="246">
        <f>F11/(1-F8)</f>
        <v>126903553.29949239</v>
      </c>
      <c r="G6" s="244"/>
      <c r="H6" s="246">
        <f>H11/(1-H8)</f>
        <v>26881720.43010753</v>
      </c>
      <c r="I6" s="244"/>
      <c r="J6" s="244"/>
      <c r="K6" s="244"/>
      <c r="L6" s="244"/>
      <c r="M6" s="244"/>
      <c r="N6" s="244"/>
      <c r="P6" s="16">
        <f>D6+J6+L6+N6+F6+H6</f>
        <v>1016729436.1661481</v>
      </c>
      <c r="S6" s="5" t="s">
        <v>68</v>
      </c>
      <c r="T6" s="82">
        <f>P7</f>
        <v>-16729436.166148135</v>
      </c>
      <c r="U6" s="21">
        <f>T6/T5</f>
        <v>-1.6454167225875723E-2</v>
      </c>
      <c r="V6" t="s">
        <v>71</v>
      </c>
    </row>
    <row r="7" spans="1:23">
      <c r="B7" t="s">
        <v>66</v>
      </c>
      <c r="D7" s="246">
        <f>-D6*D8</f>
        <v>-12944162.436548224</v>
      </c>
      <c r="E7" s="244"/>
      <c r="F7" s="246">
        <f>-F6*F8</f>
        <v>-1903553.2994923857</v>
      </c>
      <c r="G7" s="244"/>
      <c r="H7" s="246">
        <f>-H6*H8</f>
        <v>-1881720.4301075272</v>
      </c>
      <c r="I7" s="244"/>
      <c r="J7" s="244"/>
      <c r="K7" s="244"/>
      <c r="L7" s="244"/>
      <c r="M7" s="244"/>
      <c r="N7" s="244"/>
      <c r="P7" s="16">
        <f>D7+J7+L7+N7+F7+H7</f>
        <v>-16729436.166148135</v>
      </c>
      <c r="S7" s="10" t="s">
        <v>20</v>
      </c>
      <c r="T7" s="10">
        <f>T5+T6</f>
        <v>999999999.99999988</v>
      </c>
      <c r="U7" s="9"/>
    </row>
    <row r="8" spans="1:23">
      <c r="B8" t="s">
        <v>67</v>
      </c>
      <c r="D8" s="248">
        <f>1.5%</f>
        <v>1.4999999999999999E-2</v>
      </c>
      <c r="E8" s="245"/>
      <c r="F8" s="248">
        <f>1.5%</f>
        <v>1.4999999999999999E-2</v>
      </c>
      <c r="G8" s="245"/>
      <c r="H8" s="249">
        <v>7.0000000000000007E-2</v>
      </c>
      <c r="I8" s="195"/>
      <c r="J8" s="244"/>
      <c r="K8" s="244"/>
      <c r="L8" s="244"/>
      <c r="M8" s="244"/>
      <c r="N8" s="244"/>
      <c r="P8" s="239">
        <f>P7/P6</f>
        <v>-1.6454167225875723E-2</v>
      </c>
      <c r="U8" s="9"/>
    </row>
    <row r="9" spans="1:23">
      <c r="B9" s="191" t="s">
        <v>20</v>
      </c>
      <c r="C9" t="s">
        <v>4</v>
      </c>
      <c r="D9" s="242">
        <f>D6+D7</f>
        <v>850000000</v>
      </c>
      <c r="E9" s="195"/>
      <c r="F9" s="242">
        <f>F6+F7</f>
        <v>125000000</v>
      </c>
      <c r="G9" s="195"/>
      <c r="H9" s="242">
        <f>H6+H7</f>
        <v>25000000.000000004</v>
      </c>
      <c r="I9" s="195"/>
      <c r="J9" s="244"/>
      <c r="K9" s="244"/>
      <c r="L9" s="244"/>
      <c r="M9" s="244"/>
      <c r="N9" s="244"/>
      <c r="P9" s="14">
        <f>D9+J9+L9+N9+F9+H9</f>
        <v>1000000000</v>
      </c>
      <c r="S9" t="s">
        <v>70</v>
      </c>
      <c r="T9" s="10">
        <f>U9*T7</f>
        <v>100000000</v>
      </c>
      <c r="U9" s="9">
        <v>0.1</v>
      </c>
      <c r="V9" t="s">
        <v>72</v>
      </c>
      <c r="W9" t="s">
        <v>103</v>
      </c>
    </row>
    <row r="10" spans="1:23">
      <c r="D10" s="33"/>
      <c r="E10" s="244"/>
      <c r="F10" s="33"/>
      <c r="G10" s="244"/>
      <c r="H10" s="33"/>
      <c r="I10" s="244"/>
      <c r="J10" s="244"/>
      <c r="K10" s="244"/>
      <c r="L10" s="244"/>
      <c r="M10" s="244"/>
      <c r="N10" s="244"/>
      <c r="P10" s="13"/>
    </row>
    <row r="11" spans="1:23">
      <c r="B11" s="23" t="s">
        <v>20</v>
      </c>
      <c r="C11" s="23"/>
      <c r="D11" s="196">
        <v>850000000</v>
      </c>
      <c r="E11" s="196"/>
      <c r="F11" s="196">
        <v>125000000</v>
      </c>
      <c r="G11" s="196"/>
      <c r="H11" s="196">
        <v>25000000</v>
      </c>
      <c r="I11" s="196"/>
      <c r="J11" s="196"/>
      <c r="K11" s="196"/>
      <c r="L11" s="196"/>
      <c r="M11" s="43"/>
      <c r="N11" s="43"/>
      <c r="O11" s="23"/>
      <c r="P11" s="28">
        <f>D11+J11+L11+N11+F11+H11</f>
        <v>1000000000</v>
      </c>
      <c r="S11" s="79" t="s">
        <v>21</v>
      </c>
      <c r="T11" s="83">
        <f>T7+T9</f>
        <v>1100000000</v>
      </c>
    </row>
    <row r="12" spans="1:23">
      <c r="B12" s="23" t="s">
        <v>18</v>
      </c>
      <c r="C12" s="23"/>
      <c r="D12" s="196">
        <v>5000000</v>
      </c>
      <c r="E12" s="196"/>
      <c r="F12" s="196">
        <v>2000000</v>
      </c>
      <c r="G12" s="196"/>
      <c r="H12" s="196">
        <v>35000</v>
      </c>
      <c r="I12" s="196"/>
      <c r="J12" s="196"/>
      <c r="K12" s="196"/>
      <c r="L12" s="196"/>
      <c r="M12" s="43"/>
      <c r="N12" s="43"/>
      <c r="O12" s="23"/>
      <c r="P12" s="28"/>
    </row>
    <row r="13" spans="1:23">
      <c r="B13" s="23" t="s">
        <v>19</v>
      </c>
      <c r="C13" s="23"/>
      <c r="D13" s="29">
        <f>INT(D11/D12)</f>
        <v>170</v>
      </c>
      <c r="E13" s="196"/>
      <c r="F13" s="29">
        <f>INT(F11/F12)</f>
        <v>62</v>
      </c>
      <c r="G13" s="196"/>
      <c r="H13" s="29">
        <f>INT(H11/H12)</f>
        <v>714</v>
      </c>
      <c r="I13" s="196"/>
      <c r="J13" s="29"/>
      <c r="K13" s="196"/>
      <c r="L13" s="29"/>
      <c r="M13" s="43"/>
      <c r="N13" s="43"/>
      <c r="O13" s="23"/>
      <c r="P13" s="28"/>
      <c r="S13" t="s">
        <v>69</v>
      </c>
      <c r="T13" s="10">
        <f>T11-T14</f>
        <v>935000000</v>
      </c>
    </row>
    <row r="14" spans="1:23">
      <c r="B14" s="23"/>
      <c r="C14" s="2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23"/>
      <c r="P14" s="104"/>
      <c r="S14" t="s">
        <v>6</v>
      </c>
      <c r="T14" s="10">
        <f>T11*U14</f>
        <v>165000000</v>
      </c>
      <c r="U14" s="8">
        <v>0.15</v>
      </c>
      <c r="V14" t="s">
        <v>73</v>
      </c>
    </row>
    <row r="15" spans="1:23">
      <c r="B15" s="23" t="s">
        <v>104</v>
      </c>
      <c r="C15" s="2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219">
        <f>T9</f>
        <v>100000000</v>
      </c>
      <c r="O15" s="23"/>
      <c r="P15" s="28">
        <f>D15+J15+L15+N15+F15+H15</f>
        <v>100000000</v>
      </c>
      <c r="S15" s="79" t="s">
        <v>22</v>
      </c>
      <c r="T15" s="83">
        <f>T13+T14</f>
        <v>1100000000</v>
      </c>
    </row>
    <row r="16" spans="1:23">
      <c r="B16" s="23" t="s">
        <v>113</v>
      </c>
      <c r="C16" s="23"/>
      <c r="D16" s="43"/>
      <c r="E16" s="43"/>
      <c r="F16" s="43"/>
      <c r="G16" s="43"/>
      <c r="H16" s="43"/>
      <c r="I16" s="43"/>
      <c r="J16" s="43"/>
      <c r="K16" s="43"/>
      <c r="L16" s="219">
        <v>10000000000</v>
      </c>
      <c r="M16" s="43"/>
      <c r="N16" s="43"/>
      <c r="O16" s="23"/>
      <c r="P16" s="28">
        <f>D16+J16+L16+N16+F16+H16</f>
        <v>10000000000</v>
      </c>
    </row>
    <row r="17" spans="2:22"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P17" s="13"/>
      <c r="S17" t="s">
        <v>74</v>
      </c>
      <c r="T17" s="22">
        <f>T13/T5</f>
        <v>0.91961535364380631</v>
      </c>
    </row>
    <row r="18" spans="2:22">
      <c r="B18" t="s">
        <v>10</v>
      </c>
      <c r="D18" s="174">
        <v>0.05</v>
      </c>
      <c r="E18" s="254"/>
      <c r="F18" s="174">
        <v>2.5000000000000001E-2</v>
      </c>
      <c r="G18" s="254"/>
      <c r="H18" s="174">
        <v>0.15</v>
      </c>
      <c r="I18" s="254"/>
      <c r="J18" s="254"/>
      <c r="K18" s="254"/>
      <c r="L18" s="254"/>
      <c r="M18" s="195"/>
      <c r="N18" s="174">
        <f>T21</f>
        <v>2.5249999999999998E-2</v>
      </c>
      <c r="P18" s="239">
        <f>P19/P$11</f>
        <v>5.1900000000000002E-2</v>
      </c>
    </row>
    <row r="19" spans="2:22">
      <c r="B19" t="s">
        <v>23</v>
      </c>
      <c r="D19" s="213">
        <f>D$11*D18</f>
        <v>42500000</v>
      </c>
      <c r="E19" s="213"/>
      <c r="F19" s="213">
        <f>F$11*F18</f>
        <v>3125000</v>
      </c>
      <c r="G19" s="213"/>
      <c r="H19" s="213">
        <f>H$11*H18</f>
        <v>3750000</v>
      </c>
      <c r="I19" s="213"/>
      <c r="J19" s="213"/>
      <c r="K19" s="213"/>
      <c r="L19" s="213"/>
      <c r="M19" s="195"/>
      <c r="N19" s="255">
        <f>N18*N15</f>
        <v>2525000</v>
      </c>
      <c r="P19" s="14">
        <f>D19+J19+L19+N19+F19+H19</f>
        <v>51900000</v>
      </c>
      <c r="S19" s="4" t="s">
        <v>75</v>
      </c>
    </row>
    <row r="20" spans="2:22"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P20" s="13"/>
      <c r="S20" t="s">
        <v>76</v>
      </c>
      <c r="T20" s="174">
        <v>0.01</v>
      </c>
      <c r="V20" t="s">
        <v>84</v>
      </c>
    </row>
    <row r="21" spans="2:22">
      <c r="B21" t="s">
        <v>11</v>
      </c>
      <c r="D21" s="254">
        <f>T20</f>
        <v>0.01</v>
      </c>
      <c r="E21" s="195"/>
      <c r="F21" s="254">
        <f>D21</f>
        <v>0.01</v>
      </c>
      <c r="G21" s="195"/>
      <c r="H21" s="254">
        <f>D21</f>
        <v>0.01</v>
      </c>
      <c r="I21" s="195"/>
      <c r="J21" s="254"/>
      <c r="K21" s="195"/>
      <c r="L21" s="254"/>
      <c r="M21" s="195"/>
      <c r="N21" s="195"/>
      <c r="P21" s="239">
        <f>-P23/P$11</f>
        <v>9.3500000000000024E-3</v>
      </c>
      <c r="S21" t="s">
        <v>77</v>
      </c>
      <c r="T21" s="174">
        <f>0.75*2%+0.25*4.1%</f>
        <v>2.5249999999999998E-2</v>
      </c>
      <c r="V21" t="s">
        <v>85</v>
      </c>
    </row>
    <row r="22" spans="2:22">
      <c r="B22" t="s">
        <v>74</v>
      </c>
      <c r="D22" s="254">
        <f>T17</f>
        <v>0.91961535364380631</v>
      </c>
      <c r="E22" s="195"/>
      <c r="F22" s="254">
        <f>D22</f>
        <v>0.91961535364380631</v>
      </c>
      <c r="G22" s="195"/>
      <c r="H22" s="254">
        <f>D22</f>
        <v>0.91961535364380631</v>
      </c>
      <c r="I22" s="195"/>
      <c r="J22" s="254"/>
      <c r="K22" s="195"/>
      <c r="L22" s="254"/>
      <c r="M22" s="195"/>
      <c r="N22" s="195"/>
      <c r="P22" s="20"/>
    </row>
    <row r="23" spans="2:22">
      <c r="B23" t="s">
        <v>12</v>
      </c>
      <c r="D23" s="255">
        <f>-D6*D21*D22</f>
        <v>-7935767.0111394459</v>
      </c>
      <c r="E23" s="213"/>
      <c r="F23" s="255">
        <f>-F6*F21*F22</f>
        <v>-1167024.5604616832</v>
      </c>
      <c r="G23" s="213"/>
      <c r="H23" s="255">
        <f>-H6*H21*H22</f>
        <v>-247208.4283988727</v>
      </c>
      <c r="I23" s="213"/>
      <c r="J23" s="255"/>
      <c r="K23" s="213"/>
      <c r="L23" s="255"/>
      <c r="M23" s="195"/>
      <c r="N23" s="195"/>
      <c r="P23" s="16">
        <f>D23+J23+L23+N23+F23+H23</f>
        <v>-9350000.0000000019</v>
      </c>
      <c r="V23" t="s">
        <v>114</v>
      </c>
    </row>
    <row r="24" spans="2:22">
      <c r="D24" s="195"/>
      <c r="E24" s="195"/>
      <c r="F24" s="195"/>
      <c r="G24" s="195"/>
      <c r="H24" s="195"/>
      <c r="I24" s="195"/>
      <c r="J24" s="255"/>
      <c r="K24" s="195"/>
      <c r="L24" s="195"/>
      <c r="M24" s="195"/>
      <c r="N24" s="195"/>
      <c r="P24" s="15"/>
      <c r="S24" t="s">
        <v>78</v>
      </c>
    </row>
    <row r="25" spans="2:22">
      <c r="B25" t="s">
        <v>13</v>
      </c>
      <c r="D25" s="174">
        <v>0.01</v>
      </c>
      <c r="E25" s="254"/>
      <c r="F25" s="174">
        <v>5.0000000000000001E-3</v>
      </c>
      <c r="G25" s="254"/>
      <c r="H25" s="174">
        <v>0.15</v>
      </c>
      <c r="I25" s="254"/>
      <c r="J25" s="255"/>
      <c r="K25" s="254"/>
      <c r="L25" s="254"/>
      <c r="M25" s="195"/>
      <c r="N25" s="195"/>
      <c r="P25" s="239">
        <f>-P26/P$11</f>
        <v>1.2874999999999999E-2</v>
      </c>
      <c r="S25" t="s">
        <v>79</v>
      </c>
      <c r="T25" s="120" t="s">
        <v>64</v>
      </c>
    </row>
    <row r="26" spans="2:22">
      <c r="B26" t="s">
        <v>15</v>
      </c>
      <c r="D26" s="255">
        <f>-D$11*D25</f>
        <v>-8500000</v>
      </c>
      <c r="E26" s="213"/>
      <c r="F26" s="255">
        <f>-F$11*F25</f>
        <v>-625000</v>
      </c>
      <c r="G26" s="213"/>
      <c r="H26" s="255">
        <f>-H$11*H25</f>
        <v>-3750000</v>
      </c>
      <c r="I26" s="213"/>
      <c r="J26" s="255"/>
      <c r="K26" s="213"/>
      <c r="L26" s="255"/>
      <c r="M26" s="195"/>
      <c r="N26" s="195"/>
      <c r="P26" s="16">
        <f>D26+J26+L26+N26+F26+H26</f>
        <v>-12875000</v>
      </c>
      <c r="S26" t="s">
        <v>81</v>
      </c>
      <c r="T26" t="s">
        <v>80</v>
      </c>
    </row>
    <row r="27" spans="2:22">
      <c r="D27" s="195"/>
      <c r="E27" s="195"/>
      <c r="F27" s="195"/>
      <c r="G27" s="195"/>
      <c r="H27" s="195"/>
      <c r="I27" s="195"/>
      <c r="J27" s="255"/>
      <c r="K27" s="195"/>
      <c r="L27" s="195"/>
      <c r="M27" s="195"/>
      <c r="N27" s="195"/>
      <c r="P27" s="13"/>
      <c r="S27" t="s">
        <v>82</v>
      </c>
      <c r="T27" t="s">
        <v>80</v>
      </c>
    </row>
    <row r="28" spans="2:22">
      <c r="B28" t="s">
        <v>14</v>
      </c>
      <c r="D28" s="254">
        <f>D18-D21-D25</f>
        <v>0.03</v>
      </c>
      <c r="E28" s="195"/>
      <c r="F28" s="254">
        <f>F18-F21-F25</f>
        <v>1.0000000000000002E-2</v>
      </c>
      <c r="G28" s="195"/>
      <c r="H28" s="254">
        <f>H18-H21-H25</f>
        <v>-1.0000000000000009E-2</v>
      </c>
      <c r="I28" s="195"/>
      <c r="J28" s="255"/>
      <c r="K28" s="195"/>
      <c r="L28" s="254"/>
      <c r="M28" s="195"/>
      <c r="N28" s="195"/>
      <c r="P28" s="239">
        <f>P29/P$11</f>
        <v>2.9675E-2</v>
      </c>
      <c r="S28" t="s">
        <v>83</v>
      </c>
      <c r="T28" s="120" t="s">
        <v>65</v>
      </c>
    </row>
    <row r="29" spans="2:22">
      <c r="B29" s="24"/>
      <c r="C29" s="24"/>
      <c r="D29" s="196">
        <f>D19+D23+D26</f>
        <v>26064232.988860555</v>
      </c>
      <c r="E29" s="43"/>
      <c r="F29" s="196">
        <f>F19+F23+F26</f>
        <v>1332975.4395383168</v>
      </c>
      <c r="G29" s="43"/>
      <c r="H29" s="219">
        <f>H19+H23+H26</f>
        <v>-247208.42839887273</v>
      </c>
      <c r="I29" s="43"/>
      <c r="J29" s="44"/>
      <c r="K29" s="43"/>
      <c r="L29" s="196">
        <f>L19+L23+L26</f>
        <v>0</v>
      </c>
      <c r="M29" s="43"/>
      <c r="N29" s="219">
        <f>N19+N23+N26</f>
        <v>2525000</v>
      </c>
      <c r="O29" s="198"/>
      <c r="P29" s="200">
        <f>P19+P23+P26</f>
        <v>29675000</v>
      </c>
    </row>
    <row r="30" spans="2:22" s="69" customFormat="1">
      <c r="B30" s="68"/>
      <c r="C30" s="68"/>
      <c r="D30" s="192"/>
      <c r="E30" s="68"/>
      <c r="F30" s="192"/>
      <c r="G30" s="68"/>
      <c r="H30" s="193"/>
      <c r="I30" s="68"/>
      <c r="J30" s="193"/>
      <c r="K30" s="68"/>
      <c r="L30" s="192"/>
      <c r="M30" s="68"/>
      <c r="N30" s="193"/>
      <c r="O30" s="68"/>
      <c r="P30" s="194"/>
    </row>
    <row r="31" spans="2:22" s="215" customFormat="1">
      <c r="B31" s="215" t="s">
        <v>207</v>
      </c>
      <c r="D31" s="213">
        <v>0</v>
      </c>
      <c r="E31" s="195"/>
      <c r="F31" s="213">
        <v>0</v>
      </c>
      <c r="G31" s="195"/>
      <c r="H31" s="213">
        <v>0</v>
      </c>
      <c r="I31" s="195"/>
      <c r="J31" s="214"/>
      <c r="K31" s="195"/>
      <c r="L31" s="213">
        <v>600000</v>
      </c>
      <c r="M31" s="195"/>
      <c r="N31" s="213">
        <v>0</v>
      </c>
      <c r="P31" s="16">
        <f>D31+J31+L31+N31+F31+H31</f>
        <v>600000</v>
      </c>
    </row>
    <row r="32" spans="2:22" s="69" customFormat="1">
      <c r="C32" s="68"/>
      <c r="D32" s="192"/>
      <c r="E32" s="68"/>
      <c r="F32" s="192"/>
      <c r="G32" s="68"/>
      <c r="H32" s="193"/>
      <c r="I32" s="68"/>
      <c r="J32" s="193"/>
      <c r="K32" s="68"/>
      <c r="L32" s="192"/>
      <c r="M32" s="68"/>
      <c r="N32" s="193"/>
      <c r="O32" s="68"/>
      <c r="P32" s="194"/>
    </row>
    <row r="33" spans="2:33" s="69" customFormat="1">
      <c r="B33" s="205" t="s">
        <v>208</v>
      </c>
      <c r="C33" s="205"/>
      <c r="D33" s="202">
        <f>D29+D31</f>
        <v>26064232.988860555</v>
      </c>
      <c r="E33" s="202"/>
      <c r="F33" s="202">
        <f t="shared" ref="F33:H33" si="0">F29+F31</f>
        <v>1332975.4395383168</v>
      </c>
      <c r="G33" s="202"/>
      <c r="H33" s="202">
        <f t="shared" si="0"/>
        <v>-247208.42839887273</v>
      </c>
      <c r="I33" s="201"/>
      <c r="J33" s="203"/>
      <c r="K33" s="201"/>
      <c r="L33" s="202">
        <f t="shared" ref="L33" si="1">L29+L31</f>
        <v>600000</v>
      </c>
      <c r="M33" s="201"/>
      <c r="N33" s="202">
        <f t="shared" ref="N33" si="2">N29+N31</f>
        <v>2525000</v>
      </c>
      <c r="O33" s="205"/>
      <c r="P33" s="209">
        <f>D33+J33+L33+N33+F33+H33</f>
        <v>30274999.999999996</v>
      </c>
    </row>
    <row r="34" spans="2:33"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P34" s="13"/>
    </row>
    <row r="35" spans="2:33">
      <c r="B35" t="s">
        <v>56</v>
      </c>
      <c r="D35" s="293">
        <v>0.5</v>
      </c>
      <c r="E35" s="195"/>
      <c r="F35" s="293">
        <v>0.2</v>
      </c>
      <c r="G35" s="195"/>
      <c r="H35" s="293">
        <v>0.1</v>
      </c>
      <c r="I35" s="195"/>
      <c r="J35" s="258"/>
      <c r="K35" s="195"/>
      <c r="L35" s="195"/>
      <c r="M35" s="195"/>
      <c r="N35" s="195"/>
      <c r="P35" s="225">
        <f>-P36/P29</f>
        <v>1.8803272647797116</v>
      </c>
    </row>
    <row r="36" spans="2:33">
      <c r="B36" t="s">
        <v>16</v>
      </c>
      <c r="D36" s="255">
        <f>-D35*D29</f>
        <v>-13032116.494430277</v>
      </c>
      <c r="E36" s="195"/>
      <c r="F36" s="255">
        <f>-F35*F29</f>
        <v>-266595.08790766337</v>
      </c>
      <c r="G36" s="195"/>
      <c r="H36" s="214">
        <f>-H35*H11</f>
        <v>-2500000</v>
      </c>
      <c r="I36" s="195"/>
      <c r="J36" s="214"/>
      <c r="K36" s="195"/>
      <c r="L36" s="255">
        <f>'Model-2-Low'!L36</f>
        <v>-40000000</v>
      </c>
      <c r="M36" s="195"/>
      <c r="N36" s="195"/>
      <c r="P36" s="16">
        <f>D36+J36+L36+N36+F36+H36</f>
        <v>-55798711.582337938</v>
      </c>
    </row>
    <row r="37" spans="2:33" hidden="1" outlineLevel="1">
      <c r="D37" s="255"/>
      <c r="E37" s="195"/>
      <c r="F37" s="255"/>
      <c r="G37" s="195"/>
      <c r="H37" s="214"/>
      <c r="I37" s="195"/>
      <c r="J37" s="214"/>
      <c r="K37" s="195"/>
      <c r="L37" s="255"/>
      <c r="M37" s="195"/>
      <c r="N37" s="195"/>
      <c r="P37" s="15"/>
    </row>
    <row r="38" spans="2:33" hidden="1" outlineLevel="1">
      <c r="B38" s="23" t="s">
        <v>30</v>
      </c>
      <c r="C38" s="23"/>
      <c r="D38" s="255">
        <f>D33+D36</f>
        <v>13032116.494430277</v>
      </c>
      <c r="E38" s="255"/>
      <c r="F38" s="255">
        <f>F33+F36</f>
        <v>1066380.3516306535</v>
      </c>
      <c r="G38" s="255"/>
      <c r="H38" s="255">
        <f>H33+H36</f>
        <v>-2747208.4283988727</v>
      </c>
      <c r="I38" s="195"/>
      <c r="J38" s="214"/>
      <c r="K38" s="195"/>
      <c r="L38" s="255">
        <f>L33+L36</f>
        <v>-39400000</v>
      </c>
      <c r="M38" s="195"/>
      <c r="N38" s="255">
        <f t="shared" ref="N38" si="3">N33+N36</f>
        <v>2525000</v>
      </c>
      <c r="O38" s="23"/>
      <c r="P38" s="31">
        <f>P33+P36</f>
        <v>-25523711.582337942</v>
      </c>
    </row>
    <row r="39" spans="2:33" collapsed="1">
      <c r="D39" s="195" t="s">
        <v>4</v>
      </c>
      <c r="E39" s="195"/>
      <c r="F39" s="195"/>
      <c r="G39" s="195"/>
      <c r="H39" s="214"/>
      <c r="I39" s="195"/>
      <c r="J39" s="214"/>
      <c r="K39" s="195"/>
      <c r="L39" s="195"/>
      <c r="M39" s="195"/>
      <c r="N39" s="195"/>
      <c r="P39" s="13"/>
    </row>
    <row r="40" spans="2:33">
      <c r="B40" t="s">
        <v>40</v>
      </c>
      <c r="D40" s="195"/>
      <c r="E40" s="195"/>
      <c r="F40" s="195"/>
      <c r="G40" s="195"/>
      <c r="H40" s="214"/>
      <c r="I40" s="195"/>
      <c r="J40" s="214"/>
      <c r="K40" s="195"/>
      <c r="L40" s="195"/>
      <c r="M40" s="195"/>
      <c r="N40" s="255">
        <f>'Model-2-Low'!N40</f>
        <v>-10000000</v>
      </c>
      <c r="P40" s="16">
        <f>D40+J40+L40+N40+F40+H40</f>
        <v>-10000000</v>
      </c>
    </row>
    <row r="41" spans="2:33">
      <c r="D41" s="244"/>
      <c r="E41" s="244"/>
      <c r="F41" s="244"/>
      <c r="G41" s="244"/>
      <c r="H41" s="42"/>
      <c r="I41" s="244"/>
      <c r="J41" s="42"/>
      <c r="K41" s="244"/>
      <c r="L41" s="244"/>
      <c r="M41" s="244"/>
      <c r="N41" s="255"/>
      <c r="P41" s="16"/>
    </row>
    <row r="42" spans="2:33">
      <c r="B42" s="205" t="s">
        <v>217</v>
      </c>
      <c r="C42" s="201"/>
      <c r="D42" s="202">
        <f>D36+D40</f>
        <v>-13032116.494430277</v>
      </c>
      <c r="E42" s="201"/>
      <c r="F42" s="202">
        <f>F36+F40</f>
        <v>-266595.08790766337</v>
      </c>
      <c r="G42" s="201"/>
      <c r="H42" s="202">
        <f>H36+H40</f>
        <v>-2500000</v>
      </c>
      <c r="I42" s="201"/>
      <c r="J42" s="203"/>
      <c r="K42" s="201"/>
      <c r="L42" s="202">
        <f>L36+L40</f>
        <v>-40000000</v>
      </c>
      <c r="M42" s="201"/>
      <c r="N42" s="202">
        <f>N36+N40</f>
        <v>-10000000</v>
      </c>
      <c r="O42" s="201"/>
      <c r="P42" s="241">
        <f>D42+J42+L42+N42+F42+H42</f>
        <v>-65798711.582337938</v>
      </c>
    </row>
    <row r="43" spans="2:33">
      <c r="D43" s="244"/>
      <c r="E43" s="244"/>
      <c r="F43" s="244"/>
      <c r="G43" s="244"/>
      <c r="H43" s="42"/>
      <c r="I43" s="244"/>
      <c r="J43" s="42"/>
      <c r="K43" s="244"/>
      <c r="L43" s="244"/>
      <c r="M43" s="244"/>
      <c r="N43" s="255"/>
      <c r="P43" s="16"/>
    </row>
    <row r="44" spans="2:33">
      <c r="D44" s="244"/>
      <c r="E44" s="244"/>
      <c r="F44" s="244"/>
      <c r="G44" s="244"/>
      <c r="H44" s="42"/>
      <c r="I44" s="244"/>
      <c r="J44" s="42"/>
      <c r="K44" s="244"/>
      <c r="L44" s="244"/>
      <c r="M44" s="244"/>
      <c r="N44" s="244"/>
      <c r="P44" s="13"/>
    </row>
    <row r="45" spans="2:33" s="17" customFormat="1" ht="16.5" thickBot="1">
      <c r="B45" s="210" t="s">
        <v>216</v>
      </c>
      <c r="C45" s="210"/>
      <c r="D45" s="211">
        <f>D33+D42</f>
        <v>13032116.494430277</v>
      </c>
      <c r="E45" s="211"/>
      <c r="F45" s="211">
        <f>F33+F42</f>
        <v>1066380.3516306535</v>
      </c>
      <c r="G45" s="211"/>
      <c r="H45" s="211">
        <f>H33+H42</f>
        <v>-2747208.4283988727</v>
      </c>
      <c r="I45" s="211"/>
      <c r="J45" s="211"/>
      <c r="K45" s="211"/>
      <c r="L45" s="211">
        <f>L33+L42</f>
        <v>-39400000</v>
      </c>
      <c r="M45" s="211"/>
      <c r="N45" s="211">
        <f>N33+N42</f>
        <v>-7475000</v>
      </c>
      <c r="O45" s="211"/>
      <c r="P45" s="212">
        <f>P33+P42</f>
        <v>-35523711.582337946</v>
      </c>
      <c r="AG45"/>
    </row>
    <row r="46" spans="2:33" ht="16.5" thickTop="1">
      <c r="P46" s="3"/>
    </row>
    <row r="47" spans="2:33">
      <c r="B47" s="25" t="s">
        <v>223</v>
      </c>
      <c r="P47" s="3"/>
      <c r="Q47" s="25"/>
      <c r="R47" s="25"/>
      <c r="S47" s="25"/>
      <c r="T47" s="25"/>
      <c r="U47" s="78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</row>
    <row r="48" spans="2:33">
      <c r="B48" s="17"/>
      <c r="C48" s="17"/>
      <c r="D48" s="18"/>
      <c r="E48" s="17"/>
      <c r="F48" s="18"/>
      <c r="G48" s="17"/>
      <c r="H48" s="18"/>
      <c r="I48" s="17"/>
      <c r="J48" s="18"/>
      <c r="K48" s="17"/>
      <c r="L48" s="18"/>
      <c r="M48" s="17"/>
      <c r="N48" s="18"/>
      <c r="O48" s="17"/>
      <c r="P48" s="18"/>
      <c r="Q48" s="25"/>
      <c r="R48" s="55"/>
      <c r="S48" s="25"/>
      <c r="T48" s="25"/>
      <c r="U48" s="25"/>
      <c r="V48" s="25"/>
      <c r="W48" s="25"/>
      <c r="X48" s="25"/>
      <c r="Y48" s="25"/>
      <c r="Z48" s="25"/>
      <c r="AA48" s="25"/>
      <c r="AB48" s="71"/>
      <c r="AC48" s="25"/>
      <c r="AD48" s="25"/>
      <c r="AE48" s="25"/>
      <c r="AF48" s="25"/>
      <c r="AG48" s="25"/>
    </row>
    <row r="49" spans="2:33">
      <c r="B49" s="290" t="s">
        <v>138</v>
      </c>
      <c r="C49" s="290"/>
      <c r="D49" s="291">
        <f>SUM(D36:J36)/P11</f>
        <v>-1.5798711582337942E-2</v>
      </c>
      <c r="E49" s="25"/>
      <c r="F49" s="64"/>
      <c r="G49" s="25"/>
      <c r="H49" s="64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</row>
    <row r="50" spans="2:33">
      <c r="P50" s="22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63"/>
      <c r="AB50" s="25"/>
      <c r="AC50" s="25"/>
      <c r="AD50" s="25"/>
      <c r="AE50" s="25"/>
      <c r="AF50" s="25"/>
      <c r="AG50" s="25"/>
    </row>
    <row r="51" spans="2:33">
      <c r="B51" s="25"/>
      <c r="C51" s="25"/>
      <c r="D51" s="56"/>
      <c r="E51" s="25"/>
      <c r="F51" s="56"/>
      <c r="G51" s="25"/>
      <c r="H51" s="25"/>
      <c r="I51" s="25"/>
      <c r="J51" s="25"/>
      <c r="K51" s="25"/>
      <c r="L51" s="25"/>
      <c r="M51" s="25"/>
      <c r="N51" s="25"/>
      <c r="O51" s="25"/>
      <c r="P51" s="57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</row>
    <row r="52" spans="2:33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57"/>
      <c r="V52" s="25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25"/>
    </row>
    <row r="53" spans="2:33">
      <c r="C53" s="25"/>
      <c r="D53" s="72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57"/>
      <c r="V53" s="25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25"/>
    </row>
    <row r="54" spans="2:33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57"/>
      <c r="V54" s="25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25"/>
    </row>
    <row r="55" spans="2:33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57"/>
      <c r="V55" s="25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25"/>
    </row>
    <row r="56" spans="2:33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57"/>
      <c r="V56" s="25" t="s">
        <v>4</v>
      </c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25"/>
    </row>
    <row r="57" spans="2:33">
      <c r="B57" s="4" t="s">
        <v>4</v>
      </c>
      <c r="R57" s="25"/>
      <c r="S57" s="25"/>
      <c r="T57" s="25"/>
      <c r="U57" s="57"/>
      <c r="V57" s="25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25"/>
    </row>
    <row r="58" spans="2:33">
      <c r="H58" s="61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</row>
    <row r="59" spans="2:33">
      <c r="B59" s="238"/>
      <c r="C59" s="228"/>
      <c r="D59" s="228"/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228"/>
      <c r="P59" s="228"/>
      <c r="R59" s="7"/>
      <c r="S59" s="7" t="s">
        <v>4</v>
      </c>
      <c r="T59" s="7" t="s">
        <v>91</v>
      </c>
      <c r="U59" s="7" t="s">
        <v>43</v>
      </c>
      <c r="V59" s="7" t="s">
        <v>44</v>
      </c>
      <c r="W59" s="7" t="s">
        <v>45</v>
      </c>
      <c r="X59" s="7" t="s">
        <v>46</v>
      </c>
      <c r="Y59" s="7" t="s">
        <v>47</v>
      </c>
      <c r="Z59" s="7" t="s">
        <v>48</v>
      </c>
      <c r="AA59" s="7" t="s">
        <v>49</v>
      </c>
      <c r="AB59" s="7" t="s">
        <v>50</v>
      </c>
      <c r="AC59" s="7" t="s">
        <v>51</v>
      </c>
      <c r="AD59" s="7" t="s">
        <v>52</v>
      </c>
      <c r="AE59" s="7"/>
      <c r="AF59" s="7"/>
    </row>
    <row r="60" spans="2:33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R60" s="102" t="s">
        <v>1</v>
      </c>
      <c r="S60" s="103"/>
    </row>
    <row r="61" spans="2:33">
      <c r="B61" s="25"/>
      <c r="C61" s="25"/>
      <c r="D61" s="229"/>
      <c r="E61" s="229"/>
      <c r="F61" s="229"/>
      <c r="G61" s="229"/>
      <c r="H61" s="229"/>
      <c r="I61" s="229"/>
      <c r="J61" s="229"/>
      <c r="K61" s="229"/>
      <c r="L61" s="229"/>
      <c r="M61" s="25"/>
      <c r="N61" s="25"/>
      <c r="O61" s="25"/>
      <c r="P61" s="229"/>
      <c r="S61" s="17" t="s">
        <v>89</v>
      </c>
      <c r="T61" s="17"/>
    </row>
    <row r="62" spans="2:33">
      <c r="B62" s="25"/>
      <c r="C62" s="25"/>
      <c r="D62" s="229"/>
      <c r="E62" s="229"/>
      <c r="F62" s="229"/>
      <c r="G62" s="229"/>
      <c r="H62" s="229"/>
      <c r="I62" s="229"/>
      <c r="J62" s="229"/>
      <c r="K62" s="229"/>
      <c r="L62" s="229"/>
      <c r="M62" s="25"/>
      <c r="N62" s="25"/>
      <c r="O62" s="25"/>
      <c r="P62" s="229"/>
      <c r="S62" s="91" t="s">
        <v>90</v>
      </c>
      <c r="T62" s="91"/>
      <c r="U62" s="33">
        <f t="shared" ref="U62:AD62" si="4">U68/(1-$D$8)</f>
        <v>43147208.121827409</v>
      </c>
      <c r="V62" s="33">
        <f t="shared" si="4"/>
        <v>64720812.18274112</v>
      </c>
      <c r="W62" s="33">
        <f t="shared" si="4"/>
        <v>107868020.30456853</v>
      </c>
      <c r="X62" s="33">
        <f t="shared" si="4"/>
        <v>172588832.48730963</v>
      </c>
      <c r="Y62" s="33">
        <f t="shared" si="4"/>
        <v>258883248.73096448</v>
      </c>
      <c r="Z62" s="33">
        <f t="shared" si="4"/>
        <v>345177664.97461927</v>
      </c>
      <c r="AA62" s="33">
        <f t="shared" si="4"/>
        <v>431472081.21827412</v>
      </c>
      <c r="AB62" s="33">
        <f t="shared" si="4"/>
        <v>560913705.58375633</v>
      </c>
      <c r="AC62" s="33">
        <f t="shared" si="4"/>
        <v>690355329.94923854</v>
      </c>
      <c r="AD62" s="33">
        <f t="shared" si="4"/>
        <v>862944162.43654823</v>
      </c>
      <c r="AF62" s="47">
        <f>SUM(U62:AD62)</f>
        <v>3538071065.9898481</v>
      </c>
    </row>
    <row r="63" spans="2:33">
      <c r="B63" s="25"/>
      <c r="C63" s="25"/>
      <c r="D63" s="109"/>
      <c r="E63" s="229"/>
      <c r="F63" s="109"/>
      <c r="G63" s="229"/>
      <c r="H63" s="109"/>
      <c r="I63" s="229"/>
      <c r="J63" s="109"/>
      <c r="K63" s="229"/>
      <c r="L63" s="109"/>
      <c r="M63" s="25"/>
      <c r="N63" s="25"/>
      <c r="O63" s="25"/>
      <c r="P63" s="229"/>
      <c r="S63" s="91" t="s">
        <v>88</v>
      </c>
      <c r="T63" s="91"/>
      <c r="U63" s="33">
        <f t="shared" ref="U63:AD63" si="5">U69/(1-$F$8)</f>
        <v>6345177.6649746196</v>
      </c>
      <c r="V63" s="33">
        <f t="shared" si="5"/>
        <v>9517766.4974619299</v>
      </c>
      <c r="W63" s="33">
        <f t="shared" si="5"/>
        <v>15862944.162436549</v>
      </c>
      <c r="X63" s="33">
        <f t="shared" si="5"/>
        <v>25380710.659898479</v>
      </c>
      <c r="Y63" s="33">
        <f t="shared" si="5"/>
        <v>38071065.98984772</v>
      </c>
      <c r="Z63" s="33">
        <f t="shared" si="5"/>
        <v>50761421.319796957</v>
      </c>
      <c r="AA63" s="33">
        <f t="shared" si="5"/>
        <v>63451776.649746194</v>
      </c>
      <c r="AB63" s="33">
        <f t="shared" si="5"/>
        <v>82487309.644670054</v>
      </c>
      <c r="AC63" s="33">
        <f t="shared" si="5"/>
        <v>101522842.63959391</v>
      </c>
      <c r="AD63" s="33">
        <f t="shared" si="5"/>
        <v>126903553.29949239</v>
      </c>
      <c r="AF63" s="47">
        <f>SUM(U63:AD63)</f>
        <v>520304568.52791882</v>
      </c>
    </row>
    <row r="64" spans="2:33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91" t="s">
        <v>87</v>
      </c>
      <c r="T64" s="91"/>
      <c r="U64" s="33">
        <f t="shared" ref="U64:AD64" si="6">U70/(1-$H$8)</f>
        <v>1344086.0215053763</v>
      </c>
      <c r="V64" s="33">
        <f t="shared" si="6"/>
        <v>2016129.0322580647</v>
      </c>
      <c r="W64" s="33">
        <f t="shared" si="6"/>
        <v>3360215.0537634413</v>
      </c>
      <c r="X64" s="33">
        <f t="shared" si="6"/>
        <v>5376344.0860215053</v>
      </c>
      <c r="Y64" s="33">
        <f t="shared" si="6"/>
        <v>8064516.1290322589</v>
      </c>
      <c r="Z64" s="33">
        <f t="shared" si="6"/>
        <v>10752688.172043011</v>
      </c>
      <c r="AA64" s="33">
        <f t="shared" si="6"/>
        <v>13440860.215053765</v>
      </c>
      <c r="AB64" s="33">
        <f t="shared" si="6"/>
        <v>17473118.279569894</v>
      </c>
      <c r="AC64" s="33">
        <f t="shared" si="6"/>
        <v>21505376.344086021</v>
      </c>
      <c r="AD64" s="33">
        <f t="shared" si="6"/>
        <v>26881720.43010753</v>
      </c>
      <c r="AF64" s="47">
        <f>SUM(U64:AD64)</f>
        <v>110215053.76344088</v>
      </c>
    </row>
    <row r="65" spans="2:33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56"/>
      <c r="O65" s="25"/>
      <c r="P65" s="229"/>
      <c r="S65" s="53" t="s">
        <v>28</v>
      </c>
      <c r="T65" s="53"/>
      <c r="U65" s="86">
        <f t="shared" ref="U65:AD65" si="7">SUM(U62:U64)</f>
        <v>50836471.808307409</v>
      </c>
      <c r="V65" s="86">
        <f t="shared" si="7"/>
        <v>76254707.712461114</v>
      </c>
      <c r="W65" s="86">
        <f t="shared" si="7"/>
        <v>127091179.52076851</v>
      </c>
      <c r="X65" s="86">
        <f t="shared" si="7"/>
        <v>203345887.23322964</v>
      </c>
      <c r="Y65" s="86">
        <f t="shared" si="7"/>
        <v>305018830.84984446</v>
      </c>
      <c r="Z65" s="86">
        <f t="shared" si="7"/>
        <v>406691774.46645927</v>
      </c>
      <c r="AA65" s="86">
        <f t="shared" si="7"/>
        <v>508364718.08307403</v>
      </c>
      <c r="AB65" s="86">
        <f t="shared" si="7"/>
        <v>660874133.5079962</v>
      </c>
      <c r="AC65" s="86">
        <f t="shared" si="7"/>
        <v>813383548.93291855</v>
      </c>
      <c r="AD65" s="86">
        <f t="shared" si="7"/>
        <v>1016729436.1661481</v>
      </c>
      <c r="AE65" s="48"/>
      <c r="AF65" s="49">
        <f>SUM(U65:AD65)</f>
        <v>4168590688.2812076</v>
      </c>
    </row>
    <row r="66" spans="2:33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56"/>
      <c r="M66" s="25"/>
      <c r="N66" s="25"/>
      <c r="O66" s="25"/>
      <c r="P66" s="229"/>
    </row>
    <row r="67" spans="2:33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S67" s="17" t="s">
        <v>20</v>
      </c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</row>
    <row r="68" spans="2:33">
      <c r="B68" s="25"/>
      <c r="C68" s="25"/>
      <c r="D68" s="230"/>
      <c r="E68" s="230"/>
      <c r="F68" s="230"/>
      <c r="G68" s="230"/>
      <c r="H68" s="230"/>
      <c r="I68" s="230"/>
      <c r="J68" s="230"/>
      <c r="K68" s="230"/>
      <c r="L68" s="230"/>
      <c r="M68" s="25"/>
      <c r="N68" s="230"/>
      <c r="O68" s="25"/>
      <c r="P68" s="111"/>
      <c r="S68" s="91" t="s">
        <v>90</v>
      </c>
      <c r="T68" s="91"/>
      <c r="U68" s="50">
        <f t="shared" ref="U68:AD68" si="8">($D$11/$P$11)*U71</f>
        <v>42500000</v>
      </c>
      <c r="V68" s="50">
        <f t="shared" si="8"/>
        <v>63750000</v>
      </c>
      <c r="W68" s="50">
        <f t="shared" si="8"/>
        <v>106250000</v>
      </c>
      <c r="X68" s="50">
        <f t="shared" si="8"/>
        <v>170000000</v>
      </c>
      <c r="Y68" s="50">
        <f t="shared" si="8"/>
        <v>255000000</v>
      </c>
      <c r="Z68" s="50">
        <f t="shared" si="8"/>
        <v>340000000</v>
      </c>
      <c r="AA68" s="50">
        <f t="shared" si="8"/>
        <v>425000000</v>
      </c>
      <c r="AB68" s="50">
        <f t="shared" si="8"/>
        <v>552500000</v>
      </c>
      <c r="AC68" s="50">
        <f t="shared" si="8"/>
        <v>680000000</v>
      </c>
      <c r="AD68" s="50">
        <f t="shared" si="8"/>
        <v>850000000</v>
      </c>
      <c r="AF68" s="47">
        <f>SUM(U68:AD68)</f>
        <v>3485000000</v>
      </c>
    </row>
    <row r="69" spans="2:33">
      <c r="B69" s="25"/>
      <c r="C69" s="25"/>
      <c r="D69" s="229"/>
      <c r="E69" s="229"/>
      <c r="F69" s="229"/>
      <c r="G69" s="229"/>
      <c r="H69" s="229"/>
      <c r="I69" s="229"/>
      <c r="J69" s="229"/>
      <c r="K69" s="229"/>
      <c r="L69" s="229"/>
      <c r="M69" s="25"/>
      <c r="N69" s="56"/>
      <c r="O69" s="25"/>
      <c r="P69" s="229"/>
      <c r="S69" s="91" t="s">
        <v>88</v>
      </c>
      <c r="T69" s="91"/>
      <c r="U69" s="50">
        <f t="shared" ref="U69:AD69" si="9">U71-U68-U70</f>
        <v>6250000</v>
      </c>
      <c r="V69" s="50">
        <f t="shared" si="9"/>
        <v>9375000</v>
      </c>
      <c r="W69" s="50">
        <f t="shared" si="9"/>
        <v>15625000</v>
      </c>
      <c r="X69" s="50">
        <f t="shared" si="9"/>
        <v>25000000</v>
      </c>
      <c r="Y69" s="50">
        <f t="shared" si="9"/>
        <v>37500000</v>
      </c>
      <c r="Z69" s="50">
        <f t="shared" si="9"/>
        <v>50000000</v>
      </c>
      <c r="AA69" s="50">
        <f t="shared" si="9"/>
        <v>62500000</v>
      </c>
      <c r="AB69" s="50">
        <f t="shared" si="9"/>
        <v>81250000</v>
      </c>
      <c r="AC69" s="50">
        <f t="shared" si="9"/>
        <v>100000000</v>
      </c>
      <c r="AD69" s="50">
        <f t="shared" si="9"/>
        <v>125000000</v>
      </c>
      <c r="AF69" s="47">
        <f>SUM(U69:AD69)</f>
        <v>512500000</v>
      </c>
    </row>
    <row r="70" spans="2:33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S70" s="91" t="s">
        <v>87</v>
      </c>
      <c r="T70" s="91"/>
      <c r="U70" s="60">
        <f t="shared" ref="U70:AD70" si="10">($H$11/$P$11)*U71</f>
        <v>1250000</v>
      </c>
      <c r="V70" s="60">
        <f t="shared" si="10"/>
        <v>1875000</v>
      </c>
      <c r="W70" s="60">
        <f t="shared" si="10"/>
        <v>3125000</v>
      </c>
      <c r="X70" s="60">
        <f t="shared" si="10"/>
        <v>5000000</v>
      </c>
      <c r="Y70" s="60">
        <f t="shared" si="10"/>
        <v>7500000</v>
      </c>
      <c r="Z70" s="60">
        <f t="shared" si="10"/>
        <v>10000000</v>
      </c>
      <c r="AA70" s="60">
        <f t="shared" si="10"/>
        <v>12500000</v>
      </c>
      <c r="AB70" s="60">
        <f t="shared" si="10"/>
        <v>16250000</v>
      </c>
      <c r="AC70" s="60">
        <f t="shared" si="10"/>
        <v>20000000</v>
      </c>
      <c r="AD70" s="60">
        <f t="shared" si="10"/>
        <v>25000000</v>
      </c>
      <c r="AF70" s="47">
        <f>SUM(U70:AD70)</f>
        <v>102500000</v>
      </c>
    </row>
    <row r="71" spans="2:33">
      <c r="B71" s="25"/>
      <c r="C71" s="25"/>
      <c r="D71" s="230"/>
      <c r="E71" s="25"/>
      <c r="F71" s="230"/>
      <c r="G71" s="25"/>
      <c r="H71" s="230"/>
      <c r="I71" s="25"/>
      <c r="J71" s="230"/>
      <c r="K71" s="25"/>
      <c r="L71" s="230"/>
      <c r="M71" s="25"/>
      <c r="N71" s="25"/>
      <c r="O71" s="25"/>
      <c r="P71" s="111"/>
      <c r="S71" s="53" t="s">
        <v>86</v>
      </c>
      <c r="T71" s="53"/>
      <c r="U71" s="86">
        <v>50000000</v>
      </c>
      <c r="V71" s="86">
        <v>75000000</v>
      </c>
      <c r="W71" s="86">
        <v>125000000</v>
      </c>
      <c r="X71" s="86">
        <v>200000000</v>
      </c>
      <c r="Y71" s="86">
        <v>300000000</v>
      </c>
      <c r="Z71" s="86">
        <v>400000000</v>
      </c>
      <c r="AA71" s="86">
        <v>500000000</v>
      </c>
      <c r="AB71" s="86">
        <v>650000000</v>
      </c>
      <c r="AC71" s="86">
        <v>800000000</v>
      </c>
      <c r="AD71" s="86">
        <v>1000000000</v>
      </c>
      <c r="AE71" s="48"/>
      <c r="AF71" s="49">
        <f>SUM(U71:AD71)</f>
        <v>4100000000</v>
      </c>
    </row>
    <row r="72" spans="2:33">
      <c r="B72" s="25"/>
      <c r="C72" s="25"/>
      <c r="D72" s="56"/>
      <c r="E72" s="229"/>
      <c r="F72" s="56"/>
      <c r="G72" s="229"/>
      <c r="H72" s="56"/>
      <c r="I72" s="229"/>
      <c r="J72" s="56"/>
      <c r="K72" s="229"/>
      <c r="L72" s="56"/>
      <c r="M72" s="25"/>
      <c r="N72" s="25"/>
      <c r="O72" s="25"/>
      <c r="P72" s="56"/>
      <c r="S72" s="51"/>
      <c r="T72" s="51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3"/>
      <c r="AF72" s="87"/>
    </row>
    <row r="73" spans="2:33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57"/>
      <c r="S73" t="s">
        <v>70</v>
      </c>
      <c r="U73" s="92">
        <f t="shared" ref="U73:AD73" si="11">U71*$U$9</f>
        <v>5000000</v>
      </c>
      <c r="V73" s="92">
        <f t="shared" si="11"/>
        <v>7500000</v>
      </c>
      <c r="W73" s="92">
        <f t="shared" si="11"/>
        <v>12500000</v>
      </c>
      <c r="X73" s="92">
        <f t="shared" si="11"/>
        <v>20000000</v>
      </c>
      <c r="Y73" s="92">
        <f t="shared" si="11"/>
        <v>30000000</v>
      </c>
      <c r="Z73" s="92">
        <f t="shared" si="11"/>
        <v>40000000</v>
      </c>
      <c r="AA73" s="92">
        <f t="shared" si="11"/>
        <v>50000000</v>
      </c>
      <c r="AB73" s="92">
        <f t="shared" si="11"/>
        <v>65000000</v>
      </c>
      <c r="AC73" s="92">
        <f t="shared" si="11"/>
        <v>80000000</v>
      </c>
      <c r="AD73" s="92">
        <f t="shared" si="11"/>
        <v>100000000</v>
      </c>
      <c r="AE73" s="3"/>
      <c r="AF73" s="3"/>
      <c r="AG73" s="3"/>
    </row>
    <row r="74" spans="2:33">
      <c r="B74" s="25"/>
      <c r="C74" s="25"/>
      <c r="D74" s="230"/>
      <c r="E74" s="230"/>
      <c r="F74" s="230"/>
      <c r="G74" s="230"/>
      <c r="H74" s="230"/>
      <c r="I74" s="230"/>
      <c r="J74" s="230"/>
      <c r="K74" s="230"/>
      <c r="L74" s="230"/>
      <c r="M74" s="25"/>
      <c r="N74" s="25"/>
      <c r="O74" s="25"/>
      <c r="P74" s="111"/>
      <c r="S74" s="3"/>
      <c r="T74" s="3"/>
      <c r="U74" s="3"/>
      <c r="V74" s="3"/>
      <c r="W74" s="65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2:33" ht="16.5" thickBot="1">
      <c r="B75" s="25"/>
      <c r="C75" s="25"/>
      <c r="D75" s="56"/>
      <c r="E75" s="229"/>
      <c r="F75" s="56"/>
      <c r="G75" s="229"/>
      <c r="H75" s="56"/>
      <c r="I75" s="229"/>
      <c r="J75" s="56"/>
      <c r="K75" s="229"/>
      <c r="L75" s="56"/>
      <c r="M75" s="25"/>
      <c r="N75" s="25"/>
      <c r="O75" s="25"/>
      <c r="P75" s="56"/>
      <c r="S75" s="93" t="s">
        <v>21</v>
      </c>
      <c r="T75" s="93"/>
      <c r="U75" s="94">
        <f>U71+U73</f>
        <v>55000000</v>
      </c>
      <c r="V75" s="94">
        <f t="shared" ref="V75:AD75" si="12">V71+V73</f>
        <v>82500000</v>
      </c>
      <c r="W75" s="94">
        <f t="shared" si="12"/>
        <v>137500000</v>
      </c>
      <c r="X75" s="94">
        <f t="shared" si="12"/>
        <v>220000000</v>
      </c>
      <c r="Y75" s="94">
        <f t="shared" si="12"/>
        <v>330000000</v>
      </c>
      <c r="Z75" s="94">
        <f t="shared" si="12"/>
        <v>440000000</v>
      </c>
      <c r="AA75" s="94">
        <f t="shared" si="12"/>
        <v>550000000</v>
      </c>
      <c r="AB75" s="94">
        <f t="shared" si="12"/>
        <v>715000000</v>
      </c>
      <c r="AC75" s="94">
        <f t="shared" si="12"/>
        <v>880000000</v>
      </c>
      <c r="AD75" s="94">
        <f t="shared" si="12"/>
        <v>1100000000</v>
      </c>
      <c r="AE75" s="93"/>
      <c r="AF75" s="93"/>
      <c r="AG75" s="3"/>
    </row>
    <row r="76" spans="2:33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AG76" s="3"/>
    </row>
    <row r="77" spans="2:33">
      <c r="B77" s="25"/>
      <c r="C77" s="25"/>
      <c r="D77" s="230"/>
      <c r="E77" s="25"/>
      <c r="F77" s="230"/>
      <c r="G77" s="25"/>
      <c r="H77" s="230"/>
      <c r="I77" s="25"/>
      <c r="J77" s="230"/>
      <c r="K77" s="25"/>
      <c r="L77" s="230"/>
      <c r="M77" s="25"/>
      <c r="N77" s="25"/>
      <c r="O77" s="25"/>
      <c r="P77" s="111"/>
      <c r="S77" s="54" t="s">
        <v>6</v>
      </c>
      <c r="T77" s="3"/>
      <c r="U77" s="26">
        <v>0.2</v>
      </c>
      <c r="V77" s="26">
        <v>0.2</v>
      </c>
      <c r="W77" s="26">
        <v>0.2</v>
      </c>
      <c r="X77" s="26">
        <v>0.2</v>
      </c>
      <c r="Y77" s="26">
        <v>0.2</v>
      </c>
      <c r="Z77" s="26">
        <v>0.2</v>
      </c>
      <c r="AA77" s="26">
        <v>0.17</v>
      </c>
      <c r="AB77" s="26">
        <v>0.17</v>
      </c>
      <c r="AC77" s="26">
        <v>0.15</v>
      </c>
      <c r="AD77" s="26">
        <v>0.15</v>
      </c>
      <c r="AE77" s="3"/>
      <c r="AF77" s="87"/>
      <c r="AG77" s="3"/>
    </row>
    <row r="78" spans="2:33">
      <c r="B78" s="55"/>
      <c r="C78" s="55"/>
      <c r="D78" s="231"/>
      <c r="E78" s="55"/>
      <c r="F78" s="231"/>
      <c r="G78" s="55"/>
      <c r="H78" s="232"/>
      <c r="I78" s="55"/>
      <c r="J78" s="231"/>
      <c r="K78" s="55"/>
      <c r="L78" s="231"/>
      <c r="M78" s="55"/>
      <c r="N78" s="232"/>
      <c r="O78" s="55"/>
      <c r="P78" s="233"/>
      <c r="S78" s="89" t="s">
        <v>101</v>
      </c>
      <c r="T78" s="89"/>
      <c r="U78" s="87">
        <f>U75*U77</f>
        <v>11000000</v>
      </c>
      <c r="V78" s="87">
        <f t="shared" ref="V78:AD78" si="13">V75*V77</f>
        <v>16500000</v>
      </c>
      <c r="W78" s="87">
        <f t="shared" si="13"/>
        <v>27500000</v>
      </c>
      <c r="X78" s="87">
        <f t="shared" si="13"/>
        <v>44000000</v>
      </c>
      <c r="Y78" s="87">
        <f t="shared" si="13"/>
        <v>66000000</v>
      </c>
      <c r="Z78" s="87">
        <f t="shared" si="13"/>
        <v>88000000</v>
      </c>
      <c r="AA78" s="87">
        <f t="shared" si="13"/>
        <v>93500000</v>
      </c>
      <c r="AB78" s="87">
        <f t="shared" si="13"/>
        <v>121550000.00000001</v>
      </c>
      <c r="AC78" s="87">
        <f t="shared" si="13"/>
        <v>132000000</v>
      </c>
      <c r="AD78" s="87">
        <f t="shared" si="13"/>
        <v>165000000</v>
      </c>
      <c r="AE78" s="3"/>
      <c r="AF78" s="87"/>
      <c r="AG78" s="3"/>
    </row>
    <row r="79" spans="2:33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AG79" s="3"/>
    </row>
    <row r="80" spans="2:33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56"/>
      <c r="S80" t="s">
        <v>102</v>
      </c>
      <c r="U80" s="36">
        <f>U75-U78</f>
        <v>44000000</v>
      </c>
      <c r="V80" s="36">
        <f t="shared" ref="V80:AD80" si="14">V75-V78</f>
        <v>66000000</v>
      </c>
      <c r="W80" s="36">
        <f t="shared" si="14"/>
        <v>110000000</v>
      </c>
      <c r="X80" s="36">
        <f t="shared" si="14"/>
        <v>176000000</v>
      </c>
      <c r="Y80" s="36">
        <f t="shared" si="14"/>
        <v>264000000</v>
      </c>
      <c r="Z80" s="36">
        <f t="shared" si="14"/>
        <v>352000000</v>
      </c>
      <c r="AA80" s="36">
        <f t="shared" si="14"/>
        <v>456500000</v>
      </c>
      <c r="AB80" s="36">
        <f t="shared" si="14"/>
        <v>593450000</v>
      </c>
      <c r="AC80" s="36">
        <f t="shared" si="14"/>
        <v>748000000</v>
      </c>
      <c r="AD80" s="36">
        <f t="shared" si="14"/>
        <v>935000000</v>
      </c>
      <c r="AG80" s="3"/>
    </row>
    <row r="81" spans="2:33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S81" t="s">
        <v>74</v>
      </c>
      <c r="U81" s="19">
        <f>U80/U65</f>
        <v>0.86552033284122931</v>
      </c>
      <c r="V81" s="19">
        <f t="shared" ref="V81:AD81" si="15">V80/V65</f>
        <v>0.86552033284122931</v>
      </c>
      <c r="W81" s="19">
        <f t="shared" si="15"/>
        <v>0.86552033284122942</v>
      </c>
      <c r="X81" s="19">
        <f t="shared" si="15"/>
        <v>0.86552033284122931</v>
      </c>
      <c r="Y81" s="19">
        <f t="shared" si="15"/>
        <v>0.86552033284122931</v>
      </c>
      <c r="Z81" s="19">
        <f t="shared" si="15"/>
        <v>0.86552033284122931</v>
      </c>
      <c r="AA81" s="19">
        <f t="shared" si="15"/>
        <v>0.89797734532277551</v>
      </c>
      <c r="AB81" s="19">
        <f t="shared" si="15"/>
        <v>0.89797734532277562</v>
      </c>
      <c r="AC81" s="19">
        <f t="shared" si="15"/>
        <v>0.9196153536438062</v>
      </c>
      <c r="AD81" s="19">
        <f t="shared" si="15"/>
        <v>0.91961535364380631</v>
      </c>
      <c r="AG81" s="3"/>
    </row>
    <row r="82" spans="2:33"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233"/>
      <c r="AG82" s="3"/>
    </row>
    <row r="83" spans="2:33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R83" s="102" t="s">
        <v>0</v>
      </c>
      <c r="S83" s="103"/>
      <c r="AG83" s="3"/>
    </row>
    <row r="84" spans="2:33">
      <c r="B84" s="40"/>
      <c r="C84" s="40"/>
      <c r="D84" s="163"/>
      <c r="E84" s="40"/>
      <c r="F84" s="163"/>
      <c r="G84" s="40"/>
      <c r="H84" s="40"/>
      <c r="I84" s="40"/>
      <c r="J84" s="163"/>
      <c r="K84" s="40"/>
      <c r="L84" s="163"/>
      <c r="M84" s="40"/>
      <c r="N84" s="40"/>
      <c r="O84" s="40"/>
      <c r="P84" s="163"/>
      <c r="S84" s="3" t="s">
        <v>10</v>
      </c>
      <c r="T84" s="3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3"/>
      <c r="AF84" s="87"/>
      <c r="AG84" s="3"/>
    </row>
    <row r="85" spans="2:33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S85" s="95" t="s">
        <v>90</v>
      </c>
      <c r="T85" s="95"/>
      <c r="U85" s="65">
        <f t="shared" ref="U85:AD85" si="16">U68*$D$18</f>
        <v>2125000</v>
      </c>
      <c r="V85" s="65">
        <f t="shared" si="16"/>
        <v>3187500</v>
      </c>
      <c r="W85" s="65">
        <f t="shared" si="16"/>
        <v>5312500</v>
      </c>
      <c r="X85" s="65">
        <f t="shared" si="16"/>
        <v>8500000</v>
      </c>
      <c r="Y85" s="65">
        <f t="shared" si="16"/>
        <v>12750000</v>
      </c>
      <c r="Z85" s="65">
        <f t="shared" si="16"/>
        <v>17000000</v>
      </c>
      <c r="AA85" s="65">
        <f t="shared" si="16"/>
        <v>21250000</v>
      </c>
      <c r="AB85" s="65">
        <f t="shared" si="16"/>
        <v>27625000</v>
      </c>
      <c r="AC85" s="65">
        <f t="shared" si="16"/>
        <v>34000000</v>
      </c>
      <c r="AD85" s="65">
        <f t="shared" si="16"/>
        <v>42500000</v>
      </c>
      <c r="AE85" s="3"/>
      <c r="AF85" s="87"/>
      <c r="AG85" s="3"/>
    </row>
    <row r="86" spans="2:33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S86" s="95" t="s">
        <v>88</v>
      </c>
      <c r="T86" s="95"/>
      <c r="U86" s="65">
        <f t="shared" ref="U86:AD86" si="17">U69*$F$18</f>
        <v>156250</v>
      </c>
      <c r="V86" s="65">
        <f t="shared" si="17"/>
        <v>234375</v>
      </c>
      <c r="W86" s="65">
        <f t="shared" si="17"/>
        <v>390625</v>
      </c>
      <c r="X86" s="65">
        <f t="shared" si="17"/>
        <v>625000</v>
      </c>
      <c r="Y86" s="65">
        <f t="shared" si="17"/>
        <v>937500</v>
      </c>
      <c r="Z86" s="65">
        <f t="shared" si="17"/>
        <v>1250000</v>
      </c>
      <c r="AA86" s="65">
        <f t="shared" si="17"/>
        <v>1562500</v>
      </c>
      <c r="AB86" s="65">
        <f t="shared" si="17"/>
        <v>2031250</v>
      </c>
      <c r="AC86" s="65">
        <f t="shared" si="17"/>
        <v>2500000</v>
      </c>
      <c r="AD86" s="65">
        <f t="shared" si="17"/>
        <v>3125000</v>
      </c>
      <c r="AE86" s="3"/>
      <c r="AF86" s="87"/>
      <c r="AG86" s="3"/>
    </row>
    <row r="87" spans="2:33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S87" s="95" t="s">
        <v>87</v>
      </c>
      <c r="T87" s="95"/>
      <c r="U87" s="65">
        <f t="shared" ref="U87:AD87" si="18">U70*$H$18</f>
        <v>187500</v>
      </c>
      <c r="V87" s="65">
        <f t="shared" si="18"/>
        <v>281250</v>
      </c>
      <c r="W87" s="65">
        <f t="shared" si="18"/>
        <v>468750</v>
      </c>
      <c r="X87" s="65">
        <f t="shared" si="18"/>
        <v>750000</v>
      </c>
      <c r="Y87" s="65">
        <f t="shared" si="18"/>
        <v>1125000</v>
      </c>
      <c r="Z87" s="65">
        <f t="shared" si="18"/>
        <v>1500000</v>
      </c>
      <c r="AA87" s="65">
        <f t="shared" si="18"/>
        <v>1875000</v>
      </c>
      <c r="AB87" s="65">
        <f t="shared" si="18"/>
        <v>2437500</v>
      </c>
      <c r="AC87" s="65">
        <f t="shared" si="18"/>
        <v>3000000</v>
      </c>
      <c r="AD87" s="65">
        <f t="shared" si="18"/>
        <v>3750000</v>
      </c>
      <c r="AE87" s="3"/>
      <c r="AF87" s="87"/>
      <c r="AG87" s="3"/>
    </row>
    <row r="88" spans="2:33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S88" s="95" t="s">
        <v>41</v>
      </c>
      <c r="T88" s="95"/>
      <c r="U88" s="65">
        <f t="shared" ref="U88:AD88" si="19">U73*$T$21</f>
        <v>126249.99999999999</v>
      </c>
      <c r="V88" s="65">
        <f t="shared" si="19"/>
        <v>189375</v>
      </c>
      <c r="W88" s="65">
        <f t="shared" si="19"/>
        <v>315625</v>
      </c>
      <c r="X88" s="65">
        <f t="shared" si="19"/>
        <v>504999.99999999994</v>
      </c>
      <c r="Y88" s="65">
        <f t="shared" si="19"/>
        <v>757500</v>
      </c>
      <c r="Z88" s="65">
        <f t="shared" si="19"/>
        <v>1009999.9999999999</v>
      </c>
      <c r="AA88" s="65">
        <f t="shared" si="19"/>
        <v>1262500</v>
      </c>
      <c r="AB88" s="65">
        <f t="shared" si="19"/>
        <v>1641249.9999999998</v>
      </c>
      <c r="AC88" s="65">
        <f t="shared" si="19"/>
        <v>2019999.9999999998</v>
      </c>
      <c r="AD88" s="65">
        <f t="shared" si="19"/>
        <v>2525000</v>
      </c>
      <c r="AE88" s="3"/>
      <c r="AF88" s="3"/>
      <c r="AG88" s="3"/>
    </row>
    <row r="89" spans="2:33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R89" s="25"/>
      <c r="S89" s="96" t="s">
        <v>92</v>
      </c>
      <c r="T89" s="96"/>
      <c r="U89" s="97">
        <f t="shared" ref="U89:AD89" si="20">SUM(U85:U88)</f>
        <v>2595000</v>
      </c>
      <c r="V89" s="97">
        <f t="shared" si="20"/>
        <v>3892500</v>
      </c>
      <c r="W89" s="97">
        <f t="shared" si="20"/>
        <v>6487500</v>
      </c>
      <c r="X89" s="97">
        <f t="shared" si="20"/>
        <v>10380000</v>
      </c>
      <c r="Y89" s="97">
        <f t="shared" si="20"/>
        <v>15570000</v>
      </c>
      <c r="Z89" s="97">
        <f t="shared" si="20"/>
        <v>20760000</v>
      </c>
      <c r="AA89" s="97">
        <f t="shared" si="20"/>
        <v>25950000</v>
      </c>
      <c r="AB89" s="97">
        <f t="shared" si="20"/>
        <v>33735000</v>
      </c>
      <c r="AC89" s="97">
        <f t="shared" si="20"/>
        <v>41520000</v>
      </c>
      <c r="AD89" s="97">
        <f t="shared" si="20"/>
        <v>51900000</v>
      </c>
      <c r="AE89" s="48"/>
      <c r="AF89" s="48"/>
    </row>
    <row r="90" spans="2:33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R90" s="25"/>
      <c r="S90" s="3"/>
      <c r="T90" s="3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3"/>
      <c r="AF90" s="3"/>
    </row>
    <row r="91" spans="2:33">
      <c r="B91" s="5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S91" s="3" t="s">
        <v>93</v>
      </c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2:33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S92" s="95" t="s">
        <v>90</v>
      </c>
      <c r="T92" s="95"/>
      <c r="U92" s="87">
        <f t="shared" ref="U92:AD92" si="21">-U62*U$81*$T$20</f>
        <v>-373447.85934773856</v>
      </c>
      <c r="V92" s="87">
        <f t="shared" si="21"/>
        <v>-560171.78902160784</v>
      </c>
      <c r="W92" s="87">
        <f t="shared" si="21"/>
        <v>-933619.6483693464</v>
      </c>
      <c r="X92" s="87">
        <f t="shared" si="21"/>
        <v>-1493791.4373909542</v>
      </c>
      <c r="Y92" s="87">
        <f t="shared" si="21"/>
        <v>-2240687.1560864314</v>
      </c>
      <c r="Z92" s="87">
        <f t="shared" si="21"/>
        <v>-2987582.8747819085</v>
      </c>
      <c r="AA92" s="87">
        <f t="shared" si="21"/>
        <v>-3874521.5407327879</v>
      </c>
      <c r="AB92" s="87">
        <f t="shared" si="21"/>
        <v>-5036878.002952625</v>
      </c>
      <c r="AC92" s="87">
        <f t="shared" si="21"/>
        <v>-6348613.6089115553</v>
      </c>
      <c r="AD92" s="87">
        <f t="shared" si="21"/>
        <v>-7935767.011139445</v>
      </c>
      <c r="AE92" s="25"/>
      <c r="AF92" s="25"/>
    </row>
    <row r="93" spans="2:33">
      <c r="B93" s="281"/>
      <c r="C93" s="25"/>
      <c r="D93" s="25"/>
      <c r="E93" s="25"/>
      <c r="F93" s="281"/>
      <c r="G93" s="281"/>
      <c r="H93" s="281"/>
      <c r="I93" s="281"/>
      <c r="J93" s="281"/>
      <c r="K93" s="281"/>
      <c r="L93" s="281"/>
      <c r="M93" s="25"/>
      <c r="N93" s="25"/>
      <c r="O93" s="25"/>
      <c r="P93" s="25"/>
      <c r="S93" s="95" t="s">
        <v>88</v>
      </c>
      <c r="T93" s="95"/>
      <c r="U93" s="87">
        <f t="shared" ref="U93:AD93" si="22">-U63*U$81*$T$20</f>
        <v>-54918.802845255668</v>
      </c>
      <c r="V93" s="87">
        <f t="shared" si="22"/>
        <v>-82378.204267883513</v>
      </c>
      <c r="W93" s="87">
        <f t="shared" si="22"/>
        <v>-137297.00711313917</v>
      </c>
      <c r="X93" s="87">
        <f t="shared" si="22"/>
        <v>-219675.21138102267</v>
      </c>
      <c r="Y93" s="87">
        <f t="shared" si="22"/>
        <v>-329512.81707153405</v>
      </c>
      <c r="Z93" s="87">
        <f t="shared" si="22"/>
        <v>-439350.42276204535</v>
      </c>
      <c r="AA93" s="87">
        <f t="shared" si="22"/>
        <v>-569782.57951952762</v>
      </c>
      <c r="AB93" s="87">
        <f t="shared" si="22"/>
        <v>-740717.35337538598</v>
      </c>
      <c r="AC93" s="87">
        <f t="shared" si="22"/>
        <v>-933619.6483693464</v>
      </c>
      <c r="AD93" s="87">
        <f t="shared" si="22"/>
        <v>-1167024.5604616832</v>
      </c>
      <c r="AE93" s="3"/>
      <c r="AF93" s="3"/>
    </row>
    <row r="94" spans="2:33">
      <c r="B94" s="282"/>
      <c r="C94" s="25"/>
      <c r="D94" s="229"/>
      <c r="E94" s="25"/>
      <c r="F94" s="229"/>
      <c r="G94" s="25"/>
      <c r="H94" s="56"/>
      <c r="I94" s="25"/>
      <c r="J94" s="25"/>
      <c r="K94" s="25"/>
      <c r="L94" s="56"/>
      <c r="M94" s="25"/>
      <c r="N94" s="229"/>
      <c r="O94" s="25"/>
      <c r="P94" s="25"/>
      <c r="S94" s="95" t="s">
        <v>87</v>
      </c>
      <c r="T94" s="95"/>
      <c r="U94" s="87">
        <f t="shared" ref="U94:AD94" si="23">-U64*U$81*$T$20</f>
        <v>-11633.33780700577</v>
      </c>
      <c r="V94" s="87">
        <f t="shared" si="23"/>
        <v>-17450.006710508656</v>
      </c>
      <c r="W94" s="87">
        <f t="shared" si="23"/>
        <v>-29083.34451751443</v>
      </c>
      <c r="X94" s="87">
        <f t="shared" si="23"/>
        <v>-46533.351228023079</v>
      </c>
      <c r="Y94" s="87">
        <f t="shared" si="23"/>
        <v>-69800.026842034626</v>
      </c>
      <c r="Z94" s="87">
        <f t="shared" si="23"/>
        <v>-93066.702456046158</v>
      </c>
      <c r="AA94" s="87">
        <f t="shared" si="23"/>
        <v>-120695.8797476849</v>
      </c>
      <c r="AB94" s="87">
        <f t="shared" si="23"/>
        <v>-156904.64367199037</v>
      </c>
      <c r="AC94" s="87">
        <f t="shared" si="23"/>
        <v>-197766.74271909811</v>
      </c>
      <c r="AD94" s="87">
        <f t="shared" si="23"/>
        <v>-247208.4283988727</v>
      </c>
      <c r="AE94" s="25"/>
      <c r="AF94" s="3"/>
    </row>
    <row r="95" spans="2:33">
      <c r="B95" s="282"/>
      <c r="C95" s="25"/>
      <c r="D95" s="229"/>
      <c r="E95" s="25"/>
      <c r="F95" s="229"/>
      <c r="G95" s="25"/>
      <c r="H95" s="56"/>
      <c r="I95" s="25"/>
      <c r="J95" s="25"/>
      <c r="K95" s="25"/>
      <c r="L95" s="56"/>
      <c r="M95" s="25"/>
      <c r="N95" s="229"/>
      <c r="O95" s="25"/>
      <c r="P95" s="25"/>
      <c r="S95" s="96" t="s">
        <v>94</v>
      </c>
      <c r="T95" s="96"/>
      <c r="U95" s="70">
        <f>SUM(U92:U94)</f>
        <v>-440000</v>
      </c>
      <c r="V95" s="70">
        <f t="shared" ref="V95:AD95" si="24">SUM(V92:V94)</f>
        <v>-660000</v>
      </c>
      <c r="W95" s="70">
        <f t="shared" si="24"/>
        <v>-1100000</v>
      </c>
      <c r="X95" s="70">
        <f t="shared" si="24"/>
        <v>-1760000</v>
      </c>
      <c r="Y95" s="70">
        <f t="shared" si="24"/>
        <v>-2640000</v>
      </c>
      <c r="Z95" s="70">
        <f t="shared" si="24"/>
        <v>-3520000</v>
      </c>
      <c r="AA95" s="70">
        <f t="shared" si="24"/>
        <v>-4565000.0000000009</v>
      </c>
      <c r="AB95" s="70">
        <f t="shared" si="24"/>
        <v>-5934500.0000000009</v>
      </c>
      <c r="AC95" s="70">
        <f t="shared" si="24"/>
        <v>-7480000</v>
      </c>
      <c r="AD95" s="70">
        <f t="shared" si="24"/>
        <v>-9350000</v>
      </c>
      <c r="AE95" s="48"/>
      <c r="AF95" s="48"/>
    </row>
    <row r="96" spans="2:33">
      <c r="B96" s="282"/>
      <c r="C96" s="25"/>
      <c r="D96" s="229"/>
      <c r="E96" s="25"/>
      <c r="F96" s="229"/>
      <c r="G96" s="25"/>
      <c r="H96" s="56"/>
      <c r="I96" s="25"/>
      <c r="J96" s="25"/>
      <c r="K96" s="25"/>
      <c r="L96" s="56"/>
      <c r="M96" s="25"/>
      <c r="N96" s="229"/>
      <c r="O96" s="25"/>
      <c r="P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</row>
    <row r="97" spans="2:32">
      <c r="B97" s="282"/>
      <c r="C97" s="25"/>
      <c r="D97" s="229"/>
      <c r="E97" s="25"/>
      <c r="F97" s="229"/>
      <c r="G97" s="25"/>
      <c r="H97" s="56"/>
      <c r="I97" s="25"/>
      <c r="J97" s="25"/>
      <c r="K97" s="25"/>
      <c r="L97" s="56"/>
      <c r="M97" s="25"/>
      <c r="N97" s="229"/>
      <c r="O97" s="25"/>
      <c r="P97" s="25"/>
      <c r="S97" s="3" t="s">
        <v>24</v>
      </c>
      <c r="T97" s="3"/>
    </row>
    <row r="98" spans="2:32">
      <c r="B98" s="282"/>
      <c r="C98" s="25"/>
      <c r="D98" s="229"/>
      <c r="E98" s="25"/>
      <c r="F98" s="229"/>
      <c r="G98" s="25"/>
      <c r="H98" s="56"/>
      <c r="I98" s="25"/>
      <c r="J98" s="25"/>
      <c r="K98" s="25"/>
      <c r="L98" s="56"/>
      <c r="M98" s="25"/>
      <c r="N98" s="229"/>
      <c r="O98" s="25"/>
      <c r="P98" s="25"/>
      <c r="S98" s="95" t="s">
        <v>90</v>
      </c>
      <c r="T98" s="95"/>
      <c r="U98" s="33">
        <f t="shared" ref="U98:AD98" si="25">-U68*$D$25</f>
        <v>-425000</v>
      </c>
      <c r="V98" s="33">
        <f t="shared" si="25"/>
        <v>-637500</v>
      </c>
      <c r="W98" s="33">
        <f t="shared" si="25"/>
        <v>-1062500</v>
      </c>
      <c r="X98" s="33">
        <f t="shared" si="25"/>
        <v>-1700000</v>
      </c>
      <c r="Y98" s="33">
        <f t="shared" si="25"/>
        <v>-2550000</v>
      </c>
      <c r="Z98" s="33">
        <f t="shared" si="25"/>
        <v>-3400000</v>
      </c>
      <c r="AA98" s="33">
        <f t="shared" si="25"/>
        <v>-4250000</v>
      </c>
      <c r="AB98" s="33">
        <f t="shared" si="25"/>
        <v>-5525000</v>
      </c>
      <c r="AC98" s="33">
        <f t="shared" si="25"/>
        <v>-6800000</v>
      </c>
      <c r="AD98" s="33">
        <f t="shared" si="25"/>
        <v>-8500000</v>
      </c>
    </row>
    <row r="99" spans="2:32">
      <c r="B99" s="282"/>
      <c r="C99" s="25"/>
      <c r="D99" s="229"/>
      <c r="E99" s="25"/>
      <c r="F99" s="229"/>
      <c r="G99" s="25"/>
      <c r="H99" s="56"/>
      <c r="I99" s="25"/>
      <c r="J99" s="25"/>
      <c r="K99" s="25"/>
      <c r="L99" s="56"/>
      <c r="M99" s="25"/>
      <c r="N99" s="229"/>
      <c r="O99" s="25"/>
      <c r="P99" s="25"/>
      <c r="S99" s="95" t="s">
        <v>88</v>
      </c>
      <c r="T99" s="95"/>
      <c r="U99" s="33">
        <f t="shared" ref="U99:AD99" si="26">-U69*$F$25</f>
        <v>-31250</v>
      </c>
      <c r="V99" s="33">
        <f t="shared" si="26"/>
        <v>-46875</v>
      </c>
      <c r="W99" s="33">
        <f t="shared" si="26"/>
        <v>-78125</v>
      </c>
      <c r="X99" s="33">
        <f t="shared" si="26"/>
        <v>-125000</v>
      </c>
      <c r="Y99" s="33">
        <f t="shared" si="26"/>
        <v>-187500</v>
      </c>
      <c r="Z99" s="33">
        <f t="shared" si="26"/>
        <v>-250000</v>
      </c>
      <c r="AA99" s="33">
        <f t="shared" si="26"/>
        <v>-312500</v>
      </c>
      <c r="AB99" s="33">
        <f t="shared" si="26"/>
        <v>-406250</v>
      </c>
      <c r="AC99" s="33">
        <f t="shared" si="26"/>
        <v>-500000</v>
      </c>
      <c r="AD99" s="33">
        <f t="shared" si="26"/>
        <v>-625000</v>
      </c>
    </row>
    <row r="100" spans="2:32">
      <c r="B100" s="282"/>
      <c r="C100" s="25"/>
      <c r="D100" s="229"/>
      <c r="E100" s="25"/>
      <c r="F100" s="229"/>
      <c r="G100" s="25"/>
      <c r="H100" s="56"/>
      <c r="I100" s="25"/>
      <c r="J100" s="25"/>
      <c r="K100" s="25"/>
      <c r="L100" s="56"/>
      <c r="M100" s="25"/>
      <c r="N100" s="229"/>
      <c r="O100" s="25"/>
      <c r="P100" s="25"/>
      <c r="S100" s="95" t="s">
        <v>87</v>
      </c>
      <c r="T100" s="95"/>
      <c r="U100" s="33">
        <f t="shared" ref="U100:AD100" si="27">-U70*$H$25</f>
        <v>-187500</v>
      </c>
      <c r="V100" s="33">
        <f t="shared" si="27"/>
        <v>-281250</v>
      </c>
      <c r="W100" s="33">
        <f t="shared" si="27"/>
        <v>-468750</v>
      </c>
      <c r="X100" s="33">
        <f t="shared" si="27"/>
        <v>-750000</v>
      </c>
      <c r="Y100" s="33">
        <f t="shared" si="27"/>
        <v>-1125000</v>
      </c>
      <c r="Z100" s="33">
        <f t="shared" si="27"/>
        <v>-1500000</v>
      </c>
      <c r="AA100" s="33">
        <f t="shared" si="27"/>
        <v>-1875000</v>
      </c>
      <c r="AB100" s="33">
        <f t="shared" si="27"/>
        <v>-2437500</v>
      </c>
      <c r="AC100" s="33">
        <f t="shared" si="27"/>
        <v>-3000000</v>
      </c>
      <c r="AD100" s="33">
        <f t="shared" si="27"/>
        <v>-3750000</v>
      </c>
    </row>
    <row r="101" spans="2:3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S101" s="96" t="s">
        <v>95</v>
      </c>
      <c r="T101" s="96"/>
      <c r="U101" s="97">
        <f>SUM(U98:U100)</f>
        <v>-643750</v>
      </c>
      <c r="V101" s="97">
        <f t="shared" ref="V101:AD101" si="28">SUM(V98:V100)</f>
        <v>-965625</v>
      </c>
      <c r="W101" s="97">
        <f t="shared" si="28"/>
        <v>-1609375</v>
      </c>
      <c r="X101" s="97">
        <f t="shared" si="28"/>
        <v>-2575000</v>
      </c>
      <c r="Y101" s="97">
        <f t="shared" si="28"/>
        <v>-3862500</v>
      </c>
      <c r="Z101" s="97">
        <f t="shared" si="28"/>
        <v>-5150000</v>
      </c>
      <c r="AA101" s="97">
        <f t="shared" si="28"/>
        <v>-6437500</v>
      </c>
      <c r="AB101" s="97">
        <f t="shared" si="28"/>
        <v>-8368750</v>
      </c>
      <c r="AC101" s="97">
        <f t="shared" si="28"/>
        <v>-10300000</v>
      </c>
      <c r="AD101" s="97">
        <f t="shared" si="28"/>
        <v>-12875000</v>
      </c>
      <c r="AE101" s="48"/>
      <c r="AF101" s="48"/>
    </row>
    <row r="102" spans="2:32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</row>
    <row r="103" spans="2:32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S103" s="3" t="s">
        <v>96</v>
      </c>
      <c r="T103" s="3"/>
    </row>
    <row r="104" spans="2:32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S104" s="95" t="s">
        <v>99</v>
      </c>
      <c r="T104" s="95"/>
      <c r="U104" s="36">
        <f t="shared" ref="U104:AD106" si="29">U85+U92+U98</f>
        <v>1326552.1406522614</v>
      </c>
      <c r="V104" s="36">
        <f t="shared" si="29"/>
        <v>1989828.210978392</v>
      </c>
      <c r="W104" s="36">
        <f t="shared" si="29"/>
        <v>3316380.3516306533</v>
      </c>
      <c r="X104" s="36">
        <f t="shared" si="29"/>
        <v>5306208.5626090458</v>
      </c>
      <c r="Y104" s="36">
        <f t="shared" si="29"/>
        <v>7959312.8439135682</v>
      </c>
      <c r="Z104" s="36">
        <f t="shared" si="29"/>
        <v>10612417.125218092</v>
      </c>
      <c r="AA104" s="36">
        <f t="shared" si="29"/>
        <v>13125478.459267214</v>
      </c>
      <c r="AB104" s="36">
        <f t="shared" si="29"/>
        <v>17063121.997047376</v>
      </c>
      <c r="AC104" s="36">
        <f t="shared" si="29"/>
        <v>20851386.391088445</v>
      </c>
      <c r="AD104" s="36">
        <f t="shared" si="29"/>
        <v>26064232.988860555</v>
      </c>
      <c r="AE104" s="36"/>
      <c r="AF104" s="36"/>
    </row>
    <row r="105" spans="2:32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S105" s="95" t="s">
        <v>88</v>
      </c>
      <c r="T105" s="95"/>
      <c r="U105" s="36">
        <f t="shared" si="29"/>
        <v>70081.197154744325</v>
      </c>
      <c r="V105" s="36">
        <f t="shared" si="29"/>
        <v>105121.7957321165</v>
      </c>
      <c r="W105" s="36">
        <f t="shared" si="29"/>
        <v>175202.99288686083</v>
      </c>
      <c r="X105" s="36">
        <f t="shared" si="29"/>
        <v>280324.7886189773</v>
      </c>
      <c r="Y105" s="36">
        <f t="shared" si="29"/>
        <v>420487.18292846601</v>
      </c>
      <c r="Z105" s="36">
        <f t="shared" si="29"/>
        <v>560649.5772379546</v>
      </c>
      <c r="AA105" s="36">
        <f t="shared" si="29"/>
        <v>680217.42048047238</v>
      </c>
      <c r="AB105" s="36">
        <f t="shared" si="29"/>
        <v>884282.64662461402</v>
      </c>
      <c r="AC105" s="36">
        <f t="shared" si="29"/>
        <v>1066380.3516306537</v>
      </c>
      <c r="AD105" s="36">
        <f t="shared" si="29"/>
        <v>1332975.4395383168</v>
      </c>
      <c r="AE105" s="36"/>
      <c r="AF105" s="36"/>
    </row>
    <row r="106" spans="2:32">
      <c r="S106" s="95" t="s">
        <v>87</v>
      </c>
      <c r="T106" s="95"/>
      <c r="U106" s="36">
        <f t="shared" si="29"/>
        <v>-11633.337807005766</v>
      </c>
      <c r="V106" s="36">
        <f t="shared" si="29"/>
        <v>-17450.006710508664</v>
      </c>
      <c r="W106" s="36">
        <f t="shared" si="29"/>
        <v>-29083.344517514459</v>
      </c>
      <c r="X106" s="36">
        <f t="shared" si="29"/>
        <v>-46533.351228023064</v>
      </c>
      <c r="Y106" s="36">
        <f t="shared" si="29"/>
        <v>-69800.026842034655</v>
      </c>
      <c r="Z106" s="36">
        <f t="shared" si="29"/>
        <v>-93066.702456046129</v>
      </c>
      <c r="AA106" s="36">
        <f t="shared" si="29"/>
        <v>-120695.87974768481</v>
      </c>
      <c r="AB106" s="36">
        <f t="shared" si="29"/>
        <v>-156904.64367199037</v>
      </c>
      <c r="AC106" s="36">
        <f t="shared" si="29"/>
        <v>-197766.74271909799</v>
      </c>
      <c r="AD106" s="36">
        <f t="shared" si="29"/>
        <v>-247208.42839887273</v>
      </c>
      <c r="AE106" s="36"/>
      <c r="AF106" s="36"/>
    </row>
    <row r="107" spans="2:32">
      <c r="S107" s="95" t="s">
        <v>41</v>
      </c>
      <c r="T107" s="95"/>
      <c r="U107" s="36">
        <f>U88</f>
        <v>126249.99999999999</v>
      </c>
      <c r="V107" s="36">
        <f t="shared" ref="V107:AD107" si="30">V88</f>
        <v>189375</v>
      </c>
      <c r="W107" s="36">
        <f t="shared" si="30"/>
        <v>315625</v>
      </c>
      <c r="X107" s="36">
        <f t="shared" si="30"/>
        <v>504999.99999999994</v>
      </c>
      <c r="Y107" s="36">
        <f t="shared" si="30"/>
        <v>757500</v>
      </c>
      <c r="Z107" s="36">
        <f t="shared" si="30"/>
        <v>1009999.9999999999</v>
      </c>
      <c r="AA107" s="36">
        <f t="shared" si="30"/>
        <v>1262500</v>
      </c>
      <c r="AB107" s="36">
        <f t="shared" si="30"/>
        <v>1641249.9999999998</v>
      </c>
      <c r="AC107" s="36">
        <f t="shared" si="30"/>
        <v>2019999.9999999998</v>
      </c>
      <c r="AD107" s="36">
        <f t="shared" si="30"/>
        <v>2525000</v>
      </c>
      <c r="AE107" s="36"/>
      <c r="AF107" s="36"/>
    </row>
    <row r="108" spans="2:32">
      <c r="S108" s="95" t="s">
        <v>202</v>
      </c>
      <c r="T108" s="95"/>
      <c r="U108" s="36">
        <v>600000</v>
      </c>
      <c r="V108" s="36">
        <v>600000</v>
      </c>
      <c r="W108" s="36">
        <v>600000</v>
      </c>
      <c r="X108" s="36">
        <v>600000</v>
      </c>
      <c r="Y108" s="36">
        <v>600000</v>
      </c>
      <c r="Z108" s="36">
        <v>600000</v>
      </c>
      <c r="AA108" s="36">
        <v>600000</v>
      </c>
      <c r="AB108" s="36">
        <v>600000</v>
      </c>
      <c r="AC108" s="36">
        <v>600000</v>
      </c>
      <c r="AD108" s="36">
        <v>600000</v>
      </c>
      <c r="AE108" s="36"/>
      <c r="AF108" s="36"/>
    </row>
    <row r="109" spans="2:32">
      <c r="S109" s="96" t="s">
        <v>97</v>
      </c>
      <c r="T109" s="96"/>
      <c r="U109" s="97">
        <f>SUM(U104:U108)</f>
        <v>2111250</v>
      </c>
      <c r="V109" s="97">
        <f t="shared" ref="V109:AD109" si="31">SUM(V104:V108)</f>
        <v>2866875</v>
      </c>
      <c r="W109" s="97">
        <f t="shared" si="31"/>
        <v>4378125</v>
      </c>
      <c r="X109" s="97">
        <f t="shared" si="31"/>
        <v>6645000</v>
      </c>
      <c r="Y109" s="97">
        <f t="shared" si="31"/>
        <v>9667500</v>
      </c>
      <c r="Z109" s="97">
        <f t="shared" si="31"/>
        <v>12690000</v>
      </c>
      <c r="AA109" s="97">
        <f t="shared" si="31"/>
        <v>15547500.000000002</v>
      </c>
      <c r="AB109" s="97">
        <f t="shared" si="31"/>
        <v>20031750</v>
      </c>
      <c r="AC109" s="97">
        <f t="shared" si="31"/>
        <v>24340000</v>
      </c>
      <c r="AD109" s="97">
        <f t="shared" si="31"/>
        <v>30274999.999999996</v>
      </c>
      <c r="AE109" s="97"/>
      <c r="AF109" s="97"/>
    </row>
    <row r="111" spans="2:32">
      <c r="S111" s="3" t="s">
        <v>25</v>
      </c>
      <c r="T111" s="3"/>
    </row>
    <row r="112" spans="2:32">
      <c r="S112" s="95" t="s">
        <v>90</v>
      </c>
      <c r="T112" s="95"/>
      <c r="U112" s="33">
        <f t="shared" ref="U112:AD112" si="32">-U104*$D$35</f>
        <v>-663276.07032613072</v>
      </c>
      <c r="V112" s="33">
        <f t="shared" si="32"/>
        <v>-994914.10548919602</v>
      </c>
      <c r="W112" s="33">
        <f t="shared" si="32"/>
        <v>-1658190.1758153266</v>
      </c>
      <c r="X112" s="33">
        <f t="shared" si="32"/>
        <v>-2653104.2813045229</v>
      </c>
      <c r="Y112" s="33">
        <f t="shared" si="32"/>
        <v>-3979656.4219567841</v>
      </c>
      <c r="Z112" s="33">
        <f t="shared" si="32"/>
        <v>-5306208.5626090458</v>
      </c>
      <c r="AA112" s="33">
        <f t="shared" si="32"/>
        <v>-6562739.229633607</v>
      </c>
      <c r="AB112" s="33">
        <f t="shared" si="32"/>
        <v>-8531560.9985236879</v>
      </c>
      <c r="AC112" s="33">
        <f t="shared" si="32"/>
        <v>-10425693.195544222</v>
      </c>
      <c r="AD112" s="33">
        <f t="shared" si="32"/>
        <v>-13032116.494430277</v>
      </c>
    </row>
    <row r="113" spans="19:32">
      <c r="S113" s="95" t="s">
        <v>88</v>
      </c>
      <c r="T113" s="95"/>
      <c r="U113" s="33">
        <f t="shared" ref="U113:AD113" si="33">-U105*$F$35</f>
        <v>-14016.239430948866</v>
      </c>
      <c r="V113" s="33">
        <f t="shared" si="33"/>
        <v>-21024.359146423303</v>
      </c>
      <c r="W113" s="33">
        <f t="shared" si="33"/>
        <v>-35040.59857737217</v>
      </c>
      <c r="X113" s="33">
        <f t="shared" si="33"/>
        <v>-56064.957723795465</v>
      </c>
      <c r="Y113" s="33">
        <f t="shared" si="33"/>
        <v>-84097.436585693213</v>
      </c>
      <c r="Z113" s="33">
        <f t="shared" si="33"/>
        <v>-112129.91544759093</v>
      </c>
      <c r="AA113" s="33">
        <f t="shared" si="33"/>
        <v>-136043.48409609447</v>
      </c>
      <c r="AB113" s="33">
        <f t="shared" si="33"/>
        <v>-176856.52932492283</v>
      </c>
      <c r="AC113" s="33">
        <f t="shared" si="33"/>
        <v>-213276.07032613075</v>
      </c>
      <c r="AD113" s="33">
        <f t="shared" si="33"/>
        <v>-266595.08790766337</v>
      </c>
    </row>
    <row r="114" spans="19:32">
      <c r="S114" s="95" t="s">
        <v>87</v>
      </c>
      <c r="T114" s="95"/>
      <c r="U114" s="33">
        <f t="shared" ref="U114:AD114" si="34">-U70*$H$35</f>
        <v>-125000</v>
      </c>
      <c r="V114" s="33">
        <f t="shared" si="34"/>
        <v>-187500</v>
      </c>
      <c r="W114" s="33">
        <f t="shared" si="34"/>
        <v>-312500</v>
      </c>
      <c r="X114" s="33">
        <f t="shared" si="34"/>
        <v>-500000</v>
      </c>
      <c r="Y114" s="33">
        <f t="shared" si="34"/>
        <v>-750000</v>
      </c>
      <c r="Z114" s="33">
        <f t="shared" si="34"/>
        <v>-1000000</v>
      </c>
      <c r="AA114" s="33">
        <f t="shared" si="34"/>
        <v>-1250000</v>
      </c>
      <c r="AB114" s="33">
        <f t="shared" si="34"/>
        <v>-1625000</v>
      </c>
      <c r="AC114" s="33">
        <f t="shared" si="34"/>
        <v>-2000000</v>
      </c>
      <c r="AD114" s="33">
        <f t="shared" si="34"/>
        <v>-2500000</v>
      </c>
    </row>
    <row r="115" spans="19:32">
      <c r="S115" s="95" t="s">
        <v>105</v>
      </c>
      <c r="U115" s="175">
        <f>'Model-2-Low'!U115</f>
        <v>-40000000</v>
      </c>
      <c r="V115" s="47">
        <f>'Model-2-Low'!V115</f>
        <v>-40000000</v>
      </c>
      <c r="W115" s="47">
        <f>'Model-2-Low'!W115</f>
        <v>-40000000</v>
      </c>
      <c r="X115" s="47">
        <f>'Model-2-Low'!X115</f>
        <v>-40000000</v>
      </c>
      <c r="Y115" s="47">
        <f>'Model-2-Low'!Y115</f>
        <v>-40000000</v>
      </c>
      <c r="Z115" s="47">
        <f>'Model-2-Low'!Z115</f>
        <v>-40000000</v>
      </c>
      <c r="AA115" s="47">
        <f>'Model-2-Low'!AA115</f>
        <v>-40000000</v>
      </c>
      <c r="AB115" s="47">
        <f>'Model-2-Low'!AB115</f>
        <v>-40000000</v>
      </c>
      <c r="AC115" s="47">
        <f>'Model-2-Low'!AC115</f>
        <v>-40000000</v>
      </c>
      <c r="AD115" s="47">
        <f>'Model-2-Low'!AD115</f>
        <v>-40000000</v>
      </c>
    </row>
    <row r="116" spans="19:32">
      <c r="S116" s="95" t="s">
        <v>41</v>
      </c>
      <c r="T116" s="95"/>
      <c r="U116" s="171">
        <f t="shared" ref="U116:AD116" si="35">$P$40</f>
        <v>-10000000</v>
      </c>
      <c r="V116" s="33">
        <f t="shared" si="35"/>
        <v>-10000000</v>
      </c>
      <c r="W116" s="33">
        <f t="shared" si="35"/>
        <v>-10000000</v>
      </c>
      <c r="X116" s="33">
        <f t="shared" si="35"/>
        <v>-10000000</v>
      </c>
      <c r="Y116" s="33">
        <f t="shared" si="35"/>
        <v>-10000000</v>
      </c>
      <c r="Z116" s="33">
        <f t="shared" si="35"/>
        <v>-10000000</v>
      </c>
      <c r="AA116" s="33">
        <f t="shared" si="35"/>
        <v>-10000000</v>
      </c>
      <c r="AB116" s="33">
        <f t="shared" si="35"/>
        <v>-10000000</v>
      </c>
      <c r="AC116" s="33">
        <f t="shared" si="35"/>
        <v>-10000000</v>
      </c>
      <c r="AD116" s="33">
        <f t="shared" si="35"/>
        <v>-10000000</v>
      </c>
    </row>
    <row r="117" spans="19:32">
      <c r="S117" s="95" t="s">
        <v>98</v>
      </c>
      <c r="T117" s="172">
        <f>'Model-2-Low'!T117</f>
        <v>-95000000</v>
      </c>
      <c r="U117" s="33">
        <v>0</v>
      </c>
      <c r="V117" s="33">
        <v>0</v>
      </c>
      <c r="W117" s="33">
        <v>0</v>
      </c>
      <c r="X117" s="33">
        <v>0</v>
      </c>
      <c r="Y117" s="33">
        <v>0</v>
      </c>
      <c r="Z117" s="33">
        <v>0</v>
      </c>
      <c r="AA117" s="33">
        <v>0</v>
      </c>
      <c r="AB117" s="33">
        <v>0</v>
      </c>
      <c r="AC117" s="33">
        <v>0</v>
      </c>
      <c r="AD117" s="33">
        <v>0</v>
      </c>
    </row>
    <row r="118" spans="19:32">
      <c r="S118" s="96" t="s">
        <v>100</v>
      </c>
      <c r="T118" s="98">
        <f t="shared" ref="T118:AD118" si="36">SUM(T112:T117)</f>
        <v>-95000000</v>
      </c>
      <c r="U118" s="98">
        <f t="shared" si="36"/>
        <v>-50802292.309757076</v>
      </c>
      <c r="V118" s="98">
        <f t="shared" si="36"/>
        <v>-51203438.464635618</v>
      </c>
      <c r="W118" s="98">
        <f t="shared" si="36"/>
        <v>-52005730.774392702</v>
      </c>
      <c r="X118" s="98">
        <f t="shared" si="36"/>
        <v>-53209169.23902832</v>
      </c>
      <c r="Y118" s="98">
        <f t="shared" si="36"/>
        <v>-54813753.85854248</v>
      </c>
      <c r="Z118" s="98">
        <f t="shared" si="36"/>
        <v>-56418338.478056639</v>
      </c>
      <c r="AA118" s="98">
        <f t="shared" si="36"/>
        <v>-57948782.713729702</v>
      </c>
      <c r="AB118" s="98">
        <f t="shared" si="36"/>
        <v>-60333417.527848609</v>
      </c>
      <c r="AC118" s="98">
        <f t="shared" si="36"/>
        <v>-62638969.265870355</v>
      </c>
      <c r="AD118" s="98">
        <f t="shared" si="36"/>
        <v>-65798711.582337938</v>
      </c>
      <c r="AE118" s="97"/>
      <c r="AF118" s="97"/>
    </row>
    <row r="120" spans="19:32">
      <c r="S120" s="99" t="s">
        <v>29</v>
      </c>
      <c r="T120" s="100">
        <f t="shared" ref="T120:AD120" si="37">T109+T118</f>
        <v>-95000000</v>
      </c>
      <c r="U120" s="100">
        <f t="shared" si="37"/>
        <v>-48691042.309757076</v>
      </c>
      <c r="V120" s="100">
        <f t="shared" si="37"/>
        <v>-48336563.464635618</v>
      </c>
      <c r="W120" s="100">
        <f t="shared" si="37"/>
        <v>-47627605.774392702</v>
      </c>
      <c r="X120" s="100">
        <f t="shared" si="37"/>
        <v>-46564169.23902832</v>
      </c>
      <c r="Y120" s="100">
        <f t="shared" si="37"/>
        <v>-45146253.85854248</v>
      </c>
      <c r="Z120" s="100">
        <f t="shared" si="37"/>
        <v>-43728338.478056639</v>
      </c>
      <c r="AA120" s="100">
        <f t="shared" si="37"/>
        <v>-42401282.713729702</v>
      </c>
      <c r="AB120" s="100">
        <f t="shared" si="37"/>
        <v>-40301667.527848609</v>
      </c>
      <c r="AC120" s="100">
        <f t="shared" si="37"/>
        <v>-38298969.265870355</v>
      </c>
      <c r="AD120" s="100">
        <f t="shared" si="37"/>
        <v>-35523711.582337946</v>
      </c>
      <c r="AF120" s="47">
        <f>SUM(T120:AD120)</f>
        <v>-531619604.21419942</v>
      </c>
    </row>
  </sheetData>
  <pageMargins left="0.25" right="0.25" top="0.75" bottom="0.75" header="0.3" footer="0.3"/>
  <pageSetup scale="52" orientation="landscape" horizontalDpi="4294967292" verticalDpi="4294967292" r:id="rId1"/>
  <rowBreaks count="1" manualBreakCount="1">
    <brk id="58" max="31" man="1"/>
  </rowBreaks>
  <colBreaks count="1" manualBreakCount="1">
    <brk id="16" max="110" man="1"/>
  </colBreaks>
  <ignoredErrors>
    <ignoredError sqref="P8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BCF3C-E7B5-1849-87BC-6022E09B675C}">
  <sheetPr>
    <tabColor theme="8" tint="-0.499984740745262"/>
  </sheetPr>
  <dimension ref="A1:AG120"/>
  <sheetViews>
    <sheetView showGridLines="0" topLeftCell="A25" zoomScale="85" zoomScaleNormal="85" zoomScaleSheetLayoutView="82" zoomScalePageLayoutView="96" workbookViewId="0">
      <selection activeCell="T42" sqref="T42"/>
    </sheetView>
  </sheetViews>
  <sheetFormatPr defaultColWidth="10.625" defaultRowHeight="15.75" outlineLevelRow="1" outlineLevelCol="1"/>
  <cols>
    <col min="1" max="1" width="3.375" customWidth="1"/>
    <col min="2" max="2" width="36.5" customWidth="1"/>
    <col min="3" max="3" width="3.125" customWidth="1"/>
    <col min="4" max="4" width="14.625" customWidth="1"/>
    <col min="5" max="5" width="2.625" customWidth="1"/>
    <col min="6" max="6" width="14.625" customWidth="1"/>
    <col min="7" max="7" width="2.625" customWidth="1"/>
    <col min="8" max="8" width="14.375" customWidth="1"/>
    <col min="9" max="9" width="2.625" customWidth="1"/>
    <col min="10" max="10" width="12.875" hidden="1" customWidth="1" outlineLevel="1"/>
    <col min="11" max="11" width="2.625" hidden="1" customWidth="1" outlineLevel="1"/>
    <col min="12" max="12" width="15.375" customWidth="1" collapsed="1"/>
    <col min="13" max="13" width="2.375" customWidth="1"/>
    <col min="14" max="14" width="13.875" customWidth="1"/>
    <col min="15" max="15" width="2.875" customWidth="1"/>
    <col min="16" max="16" width="16.875" customWidth="1"/>
    <col min="17" max="18" width="2.875" customWidth="1"/>
    <col min="19" max="19" width="30.625" customWidth="1"/>
    <col min="20" max="20" width="16.5" customWidth="1"/>
    <col min="21" max="21" width="15.375" customWidth="1"/>
    <col min="22" max="22" width="14.625" customWidth="1"/>
    <col min="23" max="23" width="13.5" customWidth="1"/>
    <col min="24" max="24" width="13.875" customWidth="1"/>
    <col min="25" max="25" width="13.5" customWidth="1"/>
    <col min="26" max="26" width="14.875" customWidth="1"/>
    <col min="27" max="27" width="13.375" customWidth="1"/>
    <col min="28" max="29" width="13.625" customWidth="1"/>
    <col min="30" max="30" width="15.625" customWidth="1"/>
    <col min="31" max="31" width="4.5" customWidth="1"/>
    <col min="32" max="32" width="13.625" customWidth="1"/>
    <col min="33" max="33" width="2.625" customWidth="1"/>
    <col min="34" max="34" width="15" customWidth="1"/>
  </cols>
  <sheetData>
    <row r="1" spans="1:23" s="69" customFormat="1" ht="18.75">
      <c r="A1" s="278" t="s">
        <v>258</v>
      </c>
    </row>
    <row r="3" spans="1:23">
      <c r="B3" s="4" t="s">
        <v>213</v>
      </c>
      <c r="S3" s="4" t="s">
        <v>152</v>
      </c>
      <c r="T3" s="4"/>
    </row>
    <row r="4" spans="1:23" s="7" customFormat="1" ht="31.5">
      <c r="D4" s="11" t="s">
        <v>17</v>
      </c>
      <c r="F4" s="11" t="s">
        <v>59</v>
      </c>
      <c r="H4" s="11" t="s">
        <v>87</v>
      </c>
      <c r="J4" s="11"/>
      <c r="L4" s="11" t="s">
        <v>105</v>
      </c>
      <c r="N4" s="11" t="s">
        <v>104</v>
      </c>
      <c r="P4" s="12" t="s">
        <v>3</v>
      </c>
    </row>
    <row r="5" spans="1:23">
      <c r="P5" s="13"/>
      <c r="S5" t="s">
        <v>28</v>
      </c>
      <c r="T5" s="10">
        <f>P6</f>
        <v>1016729436.1661481</v>
      </c>
    </row>
    <row r="6" spans="1:23">
      <c r="B6" t="s">
        <v>28</v>
      </c>
      <c r="D6" s="246">
        <f>D11/(1-D8)</f>
        <v>862944162.43654823</v>
      </c>
      <c r="E6" s="244"/>
      <c r="F6" s="246">
        <f>F11/(1-F8)</f>
        <v>126903553.29949239</v>
      </c>
      <c r="G6" s="244"/>
      <c r="H6" s="246">
        <f>H11/(1-H8)</f>
        <v>26881720.43010753</v>
      </c>
      <c r="I6" s="244"/>
      <c r="J6" s="244"/>
      <c r="K6" s="244"/>
      <c r="L6" s="244"/>
      <c r="M6" s="244"/>
      <c r="N6" s="244"/>
      <c r="P6" s="16">
        <f>D6+J6+L6+N6+F6+H6</f>
        <v>1016729436.1661481</v>
      </c>
      <c r="S6" s="5" t="s">
        <v>68</v>
      </c>
      <c r="T6" s="82">
        <f>P7</f>
        <v>-16729436.166148135</v>
      </c>
      <c r="U6" s="21">
        <f>T6/T5</f>
        <v>-1.6454167225875723E-2</v>
      </c>
      <c r="V6" t="s">
        <v>71</v>
      </c>
    </row>
    <row r="7" spans="1:23">
      <c r="B7" t="s">
        <v>66</v>
      </c>
      <c r="D7" s="246">
        <f>-D6*D8</f>
        <v>-12944162.436548224</v>
      </c>
      <c r="E7" s="244"/>
      <c r="F7" s="246">
        <f>-F6*F8</f>
        <v>-1903553.2994923857</v>
      </c>
      <c r="G7" s="244"/>
      <c r="H7" s="246">
        <f>-H6*H8</f>
        <v>-1881720.4301075272</v>
      </c>
      <c r="I7" s="244"/>
      <c r="J7" s="244"/>
      <c r="K7" s="244"/>
      <c r="L7" s="244"/>
      <c r="M7" s="244"/>
      <c r="N7" s="244"/>
      <c r="P7" s="16">
        <f>D7+J7+L7+N7+F7+H7</f>
        <v>-16729436.166148135</v>
      </c>
      <c r="S7" s="10" t="s">
        <v>20</v>
      </c>
      <c r="T7" s="10">
        <f>T5+T6</f>
        <v>999999999.99999988</v>
      </c>
      <c r="U7" s="9"/>
    </row>
    <row r="8" spans="1:23">
      <c r="B8" t="s">
        <v>67</v>
      </c>
      <c r="D8" s="248">
        <f>1.5%</f>
        <v>1.4999999999999999E-2</v>
      </c>
      <c r="E8" s="245"/>
      <c r="F8" s="248">
        <f>1.5%</f>
        <v>1.4999999999999999E-2</v>
      </c>
      <c r="G8" s="245"/>
      <c r="H8" s="249">
        <v>7.0000000000000007E-2</v>
      </c>
      <c r="I8" s="244"/>
      <c r="J8" s="244"/>
      <c r="K8" s="244"/>
      <c r="L8" s="244"/>
      <c r="M8" s="244"/>
      <c r="N8" s="244"/>
      <c r="P8" s="239">
        <f>P7/P6</f>
        <v>-1.6454167225875723E-2</v>
      </c>
      <c r="U8" s="9"/>
    </row>
    <row r="9" spans="1:23">
      <c r="B9" s="191" t="s">
        <v>20</v>
      </c>
      <c r="C9" t="s">
        <v>4</v>
      </c>
      <c r="D9" s="242">
        <f>D6+D7</f>
        <v>850000000</v>
      </c>
      <c r="E9" s="195"/>
      <c r="F9" s="242">
        <f>F6+F7</f>
        <v>125000000</v>
      </c>
      <c r="G9" s="195"/>
      <c r="H9" s="242">
        <f>H6+H7</f>
        <v>25000000.000000004</v>
      </c>
      <c r="I9" s="244"/>
      <c r="J9" s="244"/>
      <c r="K9" s="244"/>
      <c r="L9" s="244"/>
      <c r="M9" s="244"/>
      <c r="N9" s="244"/>
      <c r="P9" s="14">
        <f>D9+J9+L9+N9+F9+H9</f>
        <v>1000000000</v>
      </c>
      <c r="S9" t="s">
        <v>70</v>
      </c>
      <c r="T9" s="10">
        <f>U9*T7</f>
        <v>100000000</v>
      </c>
      <c r="U9" s="9">
        <v>0.1</v>
      </c>
      <c r="V9" t="s">
        <v>72</v>
      </c>
      <c r="W9" t="s">
        <v>103</v>
      </c>
    </row>
    <row r="10" spans="1:23">
      <c r="D10" s="33"/>
      <c r="E10" s="244"/>
      <c r="F10" s="33"/>
      <c r="G10" s="244"/>
      <c r="H10" s="33"/>
      <c r="I10" s="244"/>
      <c r="J10" s="244"/>
      <c r="K10" s="244"/>
      <c r="L10" s="244"/>
      <c r="M10" s="244"/>
      <c r="N10" s="244"/>
      <c r="P10" s="13"/>
    </row>
    <row r="11" spans="1:23">
      <c r="B11" s="23" t="s">
        <v>20</v>
      </c>
      <c r="C11" s="23"/>
      <c r="D11" s="196">
        <v>850000000</v>
      </c>
      <c r="E11" s="196"/>
      <c r="F11" s="196">
        <v>125000000</v>
      </c>
      <c r="G11" s="196"/>
      <c r="H11" s="196">
        <v>25000000</v>
      </c>
      <c r="I11" s="196"/>
      <c r="J11" s="196"/>
      <c r="K11" s="196"/>
      <c r="L11" s="196"/>
      <c r="M11" s="43"/>
      <c r="N11" s="43"/>
      <c r="O11" s="23"/>
      <c r="P11" s="28">
        <f>D11+J11+L11+N11+F11+H11</f>
        <v>1000000000</v>
      </c>
      <c r="S11" s="79" t="s">
        <v>21</v>
      </c>
      <c r="T11" s="83">
        <f>T7+T9</f>
        <v>1100000000</v>
      </c>
    </row>
    <row r="12" spans="1:23">
      <c r="B12" s="23" t="s">
        <v>18</v>
      </c>
      <c r="C12" s="23"/>
      <c r="D12" s="196">
        <v>5000000</v>
      </c>
      <c r="E12" s="196"/>
      <c r="F12" s="196">
        <v>2000000</v>
      </c>
      <c r="G12" s="196"/>
      <c r="H12" s="196">
        <v>35000</v>
      </c>
      <c r="I12" s="196"/>
      <c r="J12" s="196"/>
      <c r="K12" s="196"/>
      <c r="L12" s="196"/>
      <c r="M12" s="43"/>
      <c r="N12" s="43"/>
      <c r="O12" s="23"/>
      <c r="P12" s="28"/>
    </row>
    <row r="13" spans="1:23">
      <c r="B13" s="23" t="s">
        <v>19</v>
      </c>
      <c r="C13" s="23"/>
      <c r="D13" s="29">
        <f>INT(D11/D12)</f>
        <v>170</v>
      </c>
      <c r="E13" s="196"/>
      <c r="F13" s="29">
        <f>INT(F11/F12)</f>
        <v>62</v>
      </c>
      <c r="G13" s="196"/>
      <c r="H13" s="29">
        <f>INT(H11/H12)</f>
        <v>714</v>
      </c>
      <c r="I13" s="196"/>
      <c r="J13" s="29"/>
      <c r="K13" s="196"/>
      <c r="L13" s="29"/>
      <c r="M13" s="43"/>
      <c r="N13" s="43"/>
      <c r="O13" s="23"/>
      <c r="P13" s="28"/>
      <c r="S13" t="s">
        <v>69</v>
      </c>
      <c r="T13" s="10">
        <f>T11-T14</f>
        <v>935000000</v>
      </c>
    </row>
    <row r="14" spans="1:23">
      <c r="B14" s="23"/>
      <c r="C14" s="2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23"/>
      <c r="P14" s="104"/>
      <c r="S14" t="s">
        <v>6</v>
      </c>
      <c r="T14" s="10">
        <f>T11*U14</f>
        <v>165000000</v>
      </c>
      <c r="U14" s="8">
        <v>0.15</v>
      </c>
      <c r="V14" t="s">
        <v>73</v>
      </c>
    </row>
    <row r="15" spans="1:23">
      <c r="B15" s="23" t="s">
        <v>104</v>
      </c>
      <c r="C15" s="2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219">
        <f>T9</f>
        <v>100000000</v>
      </c>
      <c r="O15" s="23"/>
      <c r="P15" s="28">
        <f>D15+J15+L15+N15+F15+H15</f>
        <v>100000000</v>
      </c>
      <c r="S15" s="79" t="s">
        <v>22</v>
      </c>
      <c r="T15" s="83">
        <f>T13+T14</f>
        <v>1100000000</v>
      </c>
    </row>
    <row r="16" spans="1:23">
      <c r="B16" s="23" t="s">
        <v>113</v>
      </c>
      <c r="C16" s="23"/>
      <c r="D16" s="43"/>
      <c r="E16" s="43"/>
      <c r="F16" s="43"/>
      <c r="G16" s="43"/>
      <c r="H16" s="43"/>
      <c r="I16" s="43"/>
      <c r="J16" s="43"/>
      <c r="K16" s="43"/>
      <c r="L16" s="219">
        <v>10000000000</v>
      </c>
      <c r="M16" s="43"/>
      <c r="N16" s="43"/>
      <c r="O16" s="23"/>
      <c r="P16" s="28">
        <f>D16+J16+L16+N16+F16+H16</f>
        <v>10000000000</v>
      </c>
    </row>
    <row r="17" spans="2:22"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P17" s="13"/>
      <c r="S17" t="s">
        <v>74</v>
      </c>
      <c r="T17" s="22">
        <f>T13/T5</f>
        <v>0.91961535364380631</v>
      </c>
      <c r="U17" s="19">
        <f>T13/T11</f>
        <v>0.85</v>
      </c>
      <c r="V17" t="s">
        <v>203</v>
      </c>
    </row>
    <row r="18" spans="2:22">
      <c r="B18" t="s">
        <v>10</v>
      </c>
      <c r="D18" s="254">
        <v>0.05</v>
      </c>
      <c r="E18" s="254"/>
      <c r="F18" s="254">
        <v>2.5000000000000001E-2</v>
      </c>
      <c r="G18" s="254"/>
      <c r="H18" s="254">
        <v>0.15</v>
      </c>
      <c r="I18" s="254"/>
      <c r="J18" s="254"/>
      <c r="K18" s="254"/>
      <c r="L18" s="254"/>
      <c r="M18" s="195"/>
      <c r="N18" s="254">
        <f>T21</f>
        <v>2.5249999999999998E-2</v>
      </c>
      <c r="P18" s="239">
        <f>P19/P$11</f>
        <v>5.1900000000000002E-2</v>
      </c>
    </row>
    <row r="19" spans="2:22">
      <c r="B19" t="s">
        <v>23</v>
      </c>
      <c r="D19" s="213">
        <f>D$11*D18</f>
        <v>42500000</v>
      </c>
      <c r="E19" s="213"/>
      <c r="F19" s="213">
        <f>F$11*F18</f>
        <v>3125000</v>
      </c>
      <c r="G19" s="213"/>
      <c r="H19" s="213">
        <f>H$11*H18</f>
        <v>3750000</v>
      </c>
      <c r="I19" s="213"/>
      <c r="J19" s="213"/>
      <c r="K19" s="213"/>
      <c r="L19" s="213"/>
      <c r="M19" s="195"/>
      <c r="N19" s="255">
        <f>N18*N15</f>
        <v>2525000</v>
      </c>
      <c r="P19" s="14">
        <f>D19+J19+L19+N19+F19+H19</f>
        <v>51900000</v>
      </c>
      <c r="S19" s="4" t="s">
        <v>75</v>
      </c>
    </row>
    <row r="20" spans="2:22"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P20" s="13"/>
      <c r="S20" t="s">
        <v>76</v>
      </c>
      <c r="T20" s="85">
        <v>0.01</v>
      </c>
      <c r="V20" t="s">
        <v>84</v>
      </c>
    </row>
    <row r="21" spans="2:22">
      <c r="B21" t="s">
        <v>11</v>
      </c>
      <c r="D21" s="254">
        <f>T20</f>
        <v>0.01</v>
      </c>
      <c r="E21" s="195"/>
      <c r="F21" s="254">
        <f>D21</f>
        <v>0.01</v>
      </c>
      <c r="G21" s="195"/>
      <c r="H21" s="254">
        <f>D21</f>
        <v>0.01</v>
      </c>
      <c r="I21" s="195"/>
      <c r="J21" s="254"/>
      <c r="K21" s="195"/>
      <c r="L21" s="254"/>
      <c r="M21" s="195"/>
      <c r="N21" s="195"/>
      <c r="P21" s="239">
        <f>-P23/P$11</f>
        <v>9.3500000000000024E-3</v>
      </c>
      <c r="S21" t="s">
        <v>77</v>
      </c>
      <c r="T21" s="85">
        <f>0.75*2%+0.25*4.1%</f>
        <v>2.5249999999999998E-2</v>
      </c>
      <c r="V21" t="s">
        <v>85</v>
      </c>
    </row>
    <row r="22" spans="2:22">
      <c r="B22" t="s">
        <v>74</v>
      </c>
      <c r="D22" s="254">
        <f>T17</f>
        <v>0.91961535364380631</v>
      </c>
      <c r="E22" s="195"/>
      <c r="F22" s="254">
        <f>D22</f>
        <v>0.91961535364380631</v>
      </c>
      <c r="G22" s="195"/>
      <c r="H22" s="254">
        <f>D22</f>
        <v>0.91961535364380631</v>
      </c>
      <c r="I22" s="195"/>
      <c r="J22" s="254"/>
      <c r="K22" s="195"/>
      <c r="L22" s="254"/>
      <c r="M22" s="195"/>
      <c r="N22" s="195"/>
      <c r="P22" s="20"/>
    </row>
    <row r="23" spans="2:22">
      <c r="B23" t="s">
        <v>12</v>
      </c>
      <c r="D23" s="255">
        <f>-D6*D21*D22</f>
        <v>-7935767.0111394459</v>
      </c>
      <c r="E23" s="213"/>
      <c r="F23" s="255">
        <f>-F6*F21*F22</f>
        <v>-1167024.5604616832</v>
      </c>
      <c r="G23" s="213"/>
      <c r="H23" s="255">
        <f>-H6*H21*H22</f>
        <v>-247208.4283988727</v>
      </c>
      <c r="I23" s="213"/>
      <c r="J23" s="255"/>
      <c r="K23" s="213"/>
      <c r="L23" s="255"/>
      <c r="M23" s="195"/>
      <c r="N23" s="195"/>
      <c r="P23" s="16">
        <f>D23+J23+L23+N23+F23+H23</f>
        <v>-9350000.0000000019</v>
      </c>
      <c r="V23" t="s">
        <v>114</v>
      </c>
    </row>
    <row r="24" spans="2:22">
      <c r="D24" s="195"/>
      <c r="E24" s="195"/>
      <c r="F24" s="195"/>
      <c r="G24" s="195"/>
      <c r="H24" s="195"/>
      <c r="I24" s="195"/>
      <c r="J24" s="255"/>
      <c r="K24" s="195"/>
      <c r="L24" s="195"/>
      <c r="M24" s="195"/>
      <c r="N24" s="195"/>
      <c r="P24" s="15"/>
      <c r="S24" t="s">
        <v>78</v>
      </c>
    </row>
    <row r="25" spans="2:22">
      <c r="B25" t="s">
        <v>13</v>
      </c>
      <c r="D25" s="254">
        <f>'Model-3-Low'!D25*2</f>
        <v>0.02</v>
      </c>
      <c r="E25" s="254"/>
      <c r="F25" s="254">
        <f>'Model-3-Low'!F25*2</f>
        <v>0.01</v>
      </c>
      <c r="G25" s="254"/>
      <c r="H25" s="254">
        <f>'Model-3-Low'!H25*2</f>
        <v>0.3</v>
      </c>
      <c r="I25" s="254"/>
      <c r="J25" s="255"/>
      <c r="K25" s="254"/>
      <c r="L25" s="254"/>
      <c r="M25" s="195"/>
      <c r="N25" s="195"/>
      <c r="P25" s="239">
        <f>-P26/P$11</f>
        <v>2.5749999999999999E-2</v>
      </c>
      <c r="S25" t="s">
        <v>79</v>
      </c>
      <c r="T25" s="112" t="s">
        <v>64</v>
      </c>
    </row>
    <row r="26" spans="2:22">
      <c r="B26" t="s">
        <v>15</v>
      </c>
      <c r="D26" s="255">
        <f>-D$11*D25</f>
        <v>-17000000</v>
      </c>
      <c r="E26" s="213"/>
      <c r="F26" s="255">
        <f>-F$11*F25</f>
        <v>-1250000</v>
      </c>
      <c r="G26" s="213"/>
      <c r="H26" s="255">
        <f>-H$11*H25</f>
        <v>-7500000</v>
      </c>
      <c r="I26" s="213"/>
      <c r="J26" s="255"/>
      <c r="K26" s="213"/>
      <c r="L26" s="255"/>
      <c r="M26" s="195"/>
      <c r="N26" s="195"/>
      <c r="P26" s="16">
        <f>D26+J26+L26+N26+F26+H26</f>
        <v>-25750000</v>
      </c>
      <c r="S26" t="s">
        <v>81</v>
      </c>
      <c r="T26" t="s">
        <v>80</v>
      </c>
    </row>
    <row r="27" spans="2:22">
      <c r="D27" s="195"/>
      <c r="E27" s="195"/>
      <c r="F27" s="195"/>
      <c r="G27" s="195"/>
      <c r="H27" s="195"/>
      <c r="I27" s="195"/>
      <c r="J27" s="255"/>
      <c r="K27" s="195"/>
      <c r="L27" s="195"/>
      <c r="M27" s="195"/>
      <c r="N27" s="195"/>
      <c r="P27" s="13"/>
      <c r="S27" t="s">
        <v>82</v>
      </c>
      <c r="T27" t="s">
        <v>80</v>
      </c>
    </row>
    <row r="28" spans="2:22">
      <c r="B28" t="s">
        <v>14</v>
      </c>
      <c r="D28" s="254">
        <f>D18-D21-D25</f>
        <v>0.02</v>
      </c>
      <c r="E28" s="195"/>
      <c r="F28" s="254">
        <f>F18-F21-F25</f>
        <v>5.000000000000001E-3</v>
      </c>
      <c r="G28" s="195"/>
      <c r="H28" s="254">
        <f>H18-H21-H25</f>
        <v>-0.16</v>
      </c>
      <c r="I28" s="195"/>
      <c r="J28" s="255"/>
      <c r="K28" s="195"/>
      <c r="L28" s="254"/>
      <c r="M28" s="195"/>
      <c r="N28" s="195"/>
      <c r="P28" s="239">
        <f>P29/P$11</f>
        <v>1.6799999999999999E-2</v>
      </c>
      <c r="S28" t="s">
        <v>83</v>
      </c>
      <c r="T28" s="112" t="s">
        <v>65</v>
      </c>
    </row>
    <row r="29" spans="2:22">
      <c r="B29" s="24"/>
      <c r="C29" s="24"/>
      <c r="D29" s="196">
        <f>D19+D23+D26</f>
        <v>17564232.988860555</v>
      </c>
      <c r="E29" s="43"/>
      <c r="F29" s="196">
        <f>F19+F23+F26</f>
        <v>707975.4395383168</v>
      </c>
      <c r="G29" s="43"/>
      <c r="H29" s="219">
        <f>H19+H23+H26</f>
        <v>-3997208.4283988727</v>
      </c>
      <c r="I29" s="43"/>
      <c r="J29" s="44"/>
      <c r="K29" s="43"/>
      <c r="L29" s="196">
        <f>L19+L23+L26</f>
        <v>0</v>
      </c>
      <c r="M29" s="43"/>
      <c r="N29" s="219">
        <f>N19+N23+N26</f>
        <v>2525000</v>
      </c>
      <c r="O29" s="198"/>
      <c r="P29" s="200">
        <f>P19+P23+P26</f>
        <v>16800000</v>
      </c>
    </row>
    <row r="30" spans="2:22" s="69" customFormat="1">
      <c r="B30" s="68"/>
      <c r="C30" s="68"/>
      <c r="D30" s="192"/>
      <c r="E30" s="68"/>
      <c r="F30" s="192"/>
      <c r="G30" s="68"/>
      <c r="H30" s="193"/>
      <c r="I30" s="68"/>
      <c r="J30" s="193"/>
      <c r="K30" s="68"/>
      <c r="L30" s="192"/>
      <c r="M30" s="68"/>
      <c r="N30" s="193"/>
      <c r="O30" s="68"/>
      <c r="P30" s="194"/>
    </row>
    <row r="31" spans="2:22" s="215" customFormat="1">
      <c r="B31" s="215" t="s">
        <v>207</v>
      </c>
      <c r="D31" s="213">
        <v>0</v>
      </c>
      <c r="E31" s="195"/>
      <c r="F31" s="213">
        <v>0</v>
      </c>
      <c r="G31" s="195"/>
      <c r="H31" s="213">
        <v>0</v>
      </c>
      <c r="I31" s="195"/>
      <c r="J31" s="214"/>
      <c r="K31" s="195"/>
      <c r="L31" s="213">
        <v>600000</v>
      </c>
      <c r="M31" s="195"/>
      <c r="N31" s="213">
        <v>0</v>
      </c>
      <c r="P31" s="16">
        <f>D31+J31+L31+N31+F31+H31</f>
        <v>600000</v>
      </c>
    </row>
    <row r="32" spans="2:22" s="69" customFormat="1">
      <c r="C32" s="68"/>
      <c r="D32" s="192"/>
      <c r="E32" s="68"/>
      <c r="F32" s="192"/>
      <c r="G32" s="68"/>
      <c r="H32" s="193"/>
      <c r="I32" s="68"/>
      <c r="J32" s="193"/>
      <c r="K32" s="68"/>
      <c r="L32" s="192"/>
      <c r="M32" s="68"/>
      <c r="N32" s="193"/>
      <c r="O32" s="68"/>
      <c r="P32" s="194"/>
    </row>
    <row r="33" spans="2:33" s="69" customFormat="1">
      <c r="B33" s="205" t="s">
        <v>208</v>
      </c>
      <c r="C33" s="205"/>
      <c r="D33" s="202">
        <f>D29+D31</f>
        <v>17564232.988860555</v>
      </c>
      <c r="E33" s="202"/>
      <c r="F33" s="202">
        <f t="shared" ref="F33:H33" si="0">F29+F31</f>
        <v>707975.4395383168</v>
      </c>
      <c r="G33" s="202"/>
      <c r="H33" s="202">
        <f t="shared" si="0"/>
        <v>-3997208.4283988727</v>
      </c>
      <c r="I33" s="201"/>
      <c r="J33" s="203"/>
      <c r="K33" s="201"/>
      <c r="L33" s="202">
        <f t="shared" ref="L33" si="1">L29+L31</f>
        <v>600000</v>
      </c>
      <c r="M33" s="201"/>
      <c r="N33" s="202">
        <f t="shared" ref="N33" si="2">N29+N31</f>
        <v>2525000</v>
      </c>
      <c r="O33" s="205"/>
      <c r="P33" s="209">
        <f>D33+J33+L33+N33+F33+H33</f>
        <v>17399999.999999996</v>
      </c>
    </row>
    <row r="34" spans="2:33"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P34" s="13"/>
    </row>
    <row r="35" spans="2:33">
      <c r="B35" t="s">
        <v>56</v>
      </c>
      <c r="D35" s="258">
        <f>'Model-3-Low'!D35*1.5</f>
        <v>0.75</v>
      </c>
      <c r="E35" s="195"/>
      <c r="F35" s="258">
        <f>'Model-3-Low'!F35*1.5</f>
        <v>0.30000000000000004</v>
      </c>
      <c r="G35" s="195"/>
      <c r="H35" s="258">
        <f>'Model-3-Low'!H35*1.5</f>
        <v>0.15000000000000002</v>
      </c>
      <c r="I35" s="195"/>
      <c r="J35" s="258"/>
      <c r="K35" s="195"/>
      <c r="L35" s="195"/>
      <c r="M35" s="195"/>
      <c r="N35" s="195"/>
      <c r="P35" s="225">
        <f>-P36/P29</f>
        <v>4.5914028198516013</v>
      </c>
    </row>
    <row r="36" spans="2:33">
      <c r="B36" t="s">
        <v>16</v>
      </c>
      <c r="D36" s="255">
        <f>-D35*D29</f>
        <v>-13173174.741645416</v>
      </c>
      <c r="E36" s="195"/>
      <c r="F36" s="255">
        <f>-F35*F29</f>
        <v>-212392.63186149506</v>
      </c>
      <c r="G36" s="195"/>
      <c r="H36" s="214">
        <f>-H35*H11</f>
        <v>-3750000.0000000005</v>
      </c>
      <c r="I36" s="195"/>
      <c r="J36" s="214"/>
      <c r="K36" s="195"/>
      <c r="L36" s="255">
        <f>'Model-3-Low'!L36*1.5</f>
        <v>-60000000</v>
      </c>
      <c r="M36" s="195"/>
      <c r="N36" s="195"/>
      <c r="P36" s="16">
        <f>D36+J36+L36+N36+F36+H36</f>
        <v>-77135567.373506904</v>
      </c>
    </row>
    <row r="37" spans="2:33" hidden="1" outlineLevel="1">
      <c r="D37" s="255"/>
      <c r="E37" s="195"/>
      <c r="F37" s="255"/>
      <c r="G37" s="195"/>
      <c r="H37" s="214"/>
      <c r="I37" s="195"/>
      <c r="J37" s="214"/>
      <c r="K37" s="195"/>
      <c r="L37" s="255"/>
      <c r="M37" s="195"/>
      <c r="N37" s="195"/>
      <c r="P37" s="15"/>
    </row>
    <row r="38" spans="2:33" hidden="1" outlineLevel="1">
      <c r="B38" s="23" t="s">
        <v>30</v>
      </c>
      <c r="C38" s="23"/>
      <c r="D38" s="255">
        <f>D33+D36</f>
        <v>4391058.2472151387</v>
      </c>
      <c r="E38" s="255"/>
      <c r="F38" s="255">
        <f>F33+F36</f>
        <v>495582.80767682171</v>
      </c>
      <c r="G38" s="255"/>
      <c r="H38" s="255">
        <f>H33+H36</f>
        <v>-7747208.4283988737</v>
      </c>
      <c r="I38" s="195"/>
      <c r="J38" s="214"/>
      <c r="K38" s="195"/>
      <c r="L38" s="255">
        <f>L33+L36</f>
        <v>-59400000</v>
      </c>
      <c r="M38" s="195"/>
      <c r="N38" s="255">
        <f t="shared" ref="N38" si="3">N33+N36</f>
        <v>2525000</v>
      </c>
      <c r="O38" s="23"/>
      <c r="P38" s="31">
        <f>P33+P36</f>
        <v>-59735567.373506904</v>
      </c>
    </row>
    <row r="39" spans="2:33" collapsed="1">
      <c r="D39" s="195" t="s">
        <v>4</v>
      </c>
      <c r="E39" s="195"/>
      <c r="F39" s="195"/>
      <c r="G39" s="195"/>
      <c r="H39" s="214"/>
      <c r="I39" s="195"/>
      <c r="J39" s="214"/>
      <c r="K39" s="195"/>
      <c r="L39" s="195"/>
      <c r="M39" s="195"/>
      <c r="N39" s="195"/>
      <c r="P39" s="13"/>
    </row>
    <row r="40" spans="2:33">
      <c r="B40" t="s">
        <v>40</v>
      </c>
      <c r="D40" s="195"/>
      <c r="E40" s="195"/>
      <c r="F40" s="195"/>
      <c r="G40" s="195"/>
      <c r="H40" s="214"/>
      <c r="I40" s="195"/>
      <c r="J40" s="214"/>
      <c r="K40" s="195"/>
      <c r="L40" s="195"/>
      <c r="M40" s="195"/>
      <c r="N40" s="255">
        <f>'Model-3-Low'!N40*1.5</f>
        <v>-15000000</v>
      </c>
      <c r="P40" s="16">
        <f>D40+J40+L40+N40+F40+H40</f>
        <v>-15000000</v>
      </c>
    </row>
    <row r="41" spans="2:33">
      <c r="D41" s="195"/>
      <c r="E41" s="195"/>
      <c r="F41" s="195"/>
      <c r="G41" s="195"/>
      <c r="H41" s="214"/>
      <c r="I41" s="195"/>
      <c r="J41" s="214"/>
      <c r="K41" s="195"/>
      <c r="L41" s="195"/>
      <c r="M41" s="195"/>
      <c r="N41" s="255"/>
      <c r="P41" s="16"/>
    </row>
    <row r="42" spans="2:33">
      <c r="B42" s="205" t="s">
        <v>217</v>
      </c>
      <c r="C42" s="201"/>
      <c r="D42" s="202">
        <f>D36+D40</f>
        <v>-13173174.741645416</v>
      </c>
      <c r="E42" s="201"/>
      <c r="F42" s="202">
        <f>F36+F40</f>
        <v>-212392.63186149506</v>
      </c>
      <c r="G42" s="201"/>
      <c r="H42" s="202">
        <f>H36+H40</f>
        <v>-3750000.0000000005</v>
      </c>
      <c r="I42" s="201"/>
      <c r="J42" s="203"/>
      <c r="K42" s="201"/>
      <c r="L42" s="202">
        <f>L36+L40</f>
        <v>-60000000</v>
      </c>
      <c r="M42" s="201"/>
      <c r="N42" s="202">
        <f>N36+N40</f>
        <v>-15000000</v>
      </c>
      <c r="O42" s="201"/>
      <c r="P42" s="241">
        <f>D42+J42+L42+N42+F42+H42</f>
        <v>-92135567.373506904</v>
      </c>
    </row>
    <row r="43" spans="2:33">
      <c r="H43" s="47"/>
      <c r="J43" s="47"/>
      <c r="N43" s="240"/>
      <c r="P43" s="16"/>
    </row>
    <row r="44" spans="2:33">
      <c r="H44" s="47"/>
      <c r="J44" s="47"/>
      <c r="P44" s="13"/>
    </row>
    <row r="45" spans="2:33" s="17" customFormat="1" ht="16.5" thickBot="1">
      <c r="B45" s="210" t="s">
        <v>216</v>
      </c>
      <c r="C45" s="210"/>
      <c r="D45" s="211">
        <f>D33+D42</f>
        <v>4391058.2472151387</v>
      </c>
      <c r="E45" s="211"/>
      <c r="F45" s="211">
        <f>F33+F42</f>
        <v>495582.80767682171</v>
      </c>
      <c r="G45" s="211"/>
      <c r="H45" s="211">
        <f>H33+H42</f>
        <v>-7747208.4283988737</v>
      </c>
      <c r="I45" s="211"/>
      <c r="J45" s="211"/>
      <c r="K45" s="211"/>
      <c r="L45" s="211">
        <f>L33+L42</f>
        <v>-59400000</v>
      </c>
      <c r="M45" s="211"/>
      <c r="N45" s="211">
        <f>N33+N42</f>
        <v>-12475000</v>
      </c>
      <c r="O45" s="211"/>
      <c r="P45" s="212">
        <f>P33+P42</f>
        <v>-74735567.373506904</v>
      </c>
      <c r="AG45"/>
    </row>
    <row r="46" spans="2:33" ht="16.5" thickTop="1">
      <c r="P46" s="3"/>
    </row>
    <row r="47" spans="2:33">
      <c r="B47" s="25" t="s">
        <v>223</v>
      </c>
      <c r="P47" s="3"/>
      <c r="Q47" s="25"/>
      <c r="R47" s="25"/>
      <c r="S47" s="25"/>
      <c r="T47" s="25"/>
      <c r="U47" s="78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</row>
    <row r="48" spans="2:33">
      <c r="B48" s="17"/>
      <c r="C48" s="17"/>
      <c r="D48" s="18"/>
      <c r="E48" s="17"/>
      <c r="F48" s="18"/>
      <c r="G48" s="17"/>
      <c r="H48" s="18"/>
      <c r="I48" s="17"/>
      <c r="J48" s="18"/>
      <c r="K48" s="17"/>
      <c r="L48" s="18"/>
      <c r="M48" s="17"/>
      <c r="N48" s="18"/>
      <c r="O48" s="17"/>
      <c r="P48" s="18"/>
      <c r="Q48" s="25"/>
      <c r="R48" s="55"/>
      <c r="S48" s="25"/>
      <c r="T48" s="25"/>
      <c r="U48" s="25"/>
      <c r="V48" s="25"/>
      <c r="W48" s="25"/>
      <c r="X48" s="25"/>
      <c r="Y48" s="25"/>
      <c r="Z48" s="25"/>
      <c r="AA48" s="25"/>
      <c r="AB48" s="71"/>
      <c r="AC48" s="25"/>
      <c r="AD48" s="25"/>
      <c r="AE48" s="25"/>
      <c r="AF48" s="25"/>
      <c r="AG48" s="25"/>
    </row>
    <row r="49" spans="2:33">
      <c r="B49" s="25" t="s">
        <v>138</v>
      </c>
      <c r="C49" s="25"/>
      <c r="D49" s="72">
        <f>SUM(D36:J36)/P11</f>
        <v>-1.713556737350691E-2</v>
      </c>
      <c r="E49" s="25"/>
      <c r="F49" s="64"/>
      <c r="G49" s="25"/>
      <c r="H49" s="64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</row>
    <row r="50" spans="2:33">
      <c r="P50" s="22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63"/>
      <c r="AB50" s="25"/>
      <c r="AC50" s="25"/>
      <c r="AD50" s="25"/>
      <c r="AE50" s="25"/>
      <c r="AF50" s="25"/>
      <c r="AG50" s="25"/>
    </row>
    <row r="51" spans="2:33">
      <c r="B51" s="25"/>
      <c r="C51" s="25"/>
      <c r="D51" s="56"/>
      <c r="E51" s="25"/>
      <c r="F51" s="56"/>
      <c r="G51" s="25"/>
      <c r="H51" s="25"/>
      <c r="I51" s="25"/>
      <c r="J51" s="25"/>
      <c r="K51" s="25"/>
      <c r="L51" s="25"/>
      <c r="M51" s="25"/>
      <c r="N51" s="25"/>
      <c r="O51" s="25"/>
      <c r="P51" s="57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</row>
    <row r="52" spans="2:33">
      <c r="B52" s="243" t="s">
        <v>221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57"/>
      <c r="V52" s="25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25"/>
    </row>
    <row r="53" spans="2:33">
      <c r="C53" s="25"/>
      <c r="D53" s="72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57"/>
      <c r="V53" s="25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25"/>
    </row>
    <row r="54" spans="2:33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57"/>
      <c r="V54" s="25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25"/>
    </row>
    <row r="55" spans="2:33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57"/>
      <c r="V55" s="25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25"/>
    </row>
    <row r="56" spans="2:33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57"/>
      <c r="V56" s="25" t="s">
        <v>4</v>
      </c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25"/>
    </row>
    <row r="57" spans="2:33">
      <c r="B57" s="4" t="s">
        <v>4</v>
      </c>
      <c r="R57" s="25"/>
      <c r="S57" s="25"/>
      <c r="T57" s="25"/>
      <c r="U57" s="57"/>
      <c r="V57" s="25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25"/>
    </row>
    <row r="58" spans="2:33">
      <c r="H58" s="61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</row>
    <row r="59" spans="2:33">
      <c r="B59" s="238"/>
      <c r="C59" s="228"/>
      <c r="D59" s="228"/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228"/>
      <c r="P59" s="228"/>
      <c r="R59" s="7"/>
      <c r="S59" s="7" t="s">
        <v>4</v>
      </c>
      <c r="T59" s="7" t="s">
        <v>91</v>
      </c>
      <c r="U59" s="7" t="s">
        <v>43</v>
      </c>
      <c r="V59" s="7" t="s">
        <v>44</v>
      </c>
      <c r="W59" s="7" t="s">
        <v>45</v>
      </c>
      <c r="X59" s="7" t="s">
        <v>46</v>
      </c>
      <c r="Y59" s="7" t="s">
        <v>47</v>
      </c>
      <c r="Z59" s="7" t="s">
        <v>48</v>
      </c>
      <c r="AA59" s="7" t="s">
        <v>49</v>
      </c>
      <c r="AB59" s="7" t="s">
        <v>50</v>
      </c>
      <c r="AC59" s="7" t="s">
        <v>51</v>
      </c>
      <c r="AD59" s="7" t="s">
        <v>52</v>
      </c>
      <c r="AE59" s="7"/>
      <c r="AF59" s="7"/>
    </row>
    <row r="60" spans="2:33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R60" s="102" t="s">
        <v>1</v>
      </c>
      <c r="S60" s="103"/>
    </row>
    <row r="61" spans="2:33">
      <c r="B61" s="25"/>
      <c r="C61" s="25"/>
      <c r="D61" s="229"/>
      <c r="E61" s="229"/>
      <c r="F61" s="229"/>
      <c r="G61" s="229"/>
      <c r="H61" s="229"/>
      <c r="I61" s="229"/>
      <c r="J61" s="229"/>
      <c r="K61" s="229"/>
      <c r="L61" s="229"/>
      <c r="M61" s="25"/>
      <c r="N61" s="25"/>
      <c r="O61" s="25"/>
      <c r="P61" s="229"/>
      <c r="S61" s="17" t="s">
        <v>89</v>
      </c>
      <c r="T61" s="17"/>
    </row>
    <row r="62" spans="2:33">
      <c r="B62" s="25"/>
      <c r="C62" s="25"/>
      <c r="D62" s="229"/>
      <c r="E62" s="229"/>
      <c r="F62" s="229"/>
      <c r="G62" s="229"/>
      <c r="H62" s="229"/>
      <c r="I62" s="229"/>
      <c r="J62" s="229"/>
      <c r="K62" s="229"/>
      <c r="L62" s="229"/>
      <c r="M62" s="25"/>
      <c r="N62" s="25"/>
      <c r="O62" s="25"/>
      <c r="P62" s="229"/>
      <c r="S62" s="91" t="s">
        <v>90</v>
      </c>
      <c r="T62" s="91"/>
      <c r="U62" s="33">
        <f t="shared" ref="U62:AD62" si="4">U68/(1-$D$8)</f>
        <v>43147208.121827409</v>
      </c>
      <c r="V62" s="33">
        <f t="shared" si="4"/>
        <v>64720812.18274112</v>
      </c>
      <c r="W62" s="33">
        <f t="shared" si="4"/>
        <v>107868020.30456853</v>
      </c>
      <c r="X62" s="33">
        <f t="shared" si="4"/>
        <v>172588832.48730963</v>
      </c>
      <c r="Y62" s="33">
        <f t="shared" si="4"/>
        <v>258883248.73096448</v>
      </c>
      <c r="Z62" s="33">
        <f t="shared" si="4"/>
        <v>345177664.97461927</v>
      </c>
      <c r="AA62" s="33">
        <f t="shared" si="4"/>
        <v>431472081.21827412</v>
      </c>
      <c r="AB62" s="33">
        <f t="shared" si="4"/>
        <v>560913705.58375633</v>
      </c>
      <c r="AC62" s="33">
        <f t="shared" si="4"/>
        <v>690355329.94923854</v>
      </c>
      <c r="AD62" s="33">
        <f t="shared" si="4"/>
        <v>862944162.43654823</v>
      </c>
      <c r="AF62" s="47">
        <f>SUM(U62:AD62)</f>
        <v>3538071065.9898481</v>
      </c>
    </row>
    <row r="63" spans="2:33">
      <c r="B63" s="25"/>
      <c r="C63" s="25"/>
      <c r="D63" s="109"/>
      <c r="E63" s="229"/>
      <c r="F63" s="109"/>
      <c r="G63" s="229"/>
      <c r="H63" s="109"/>
      <c r="I63" s="229"/>
      <c r="J63" s="109"/>
      <c r="K63" s="229"/>
      <c r="L63" s="109"/>
      <c r="M63" s="25"/>
      <c r="N63" s="25"/>
      <c r="O63" s="25"/>
      <c r="P63" s="229"/>
      <c r="S63" s="91" t="s">
        <v>88</v>
      </c>
      <c r="T63" s="91"/>
      <c r="U63" s="33">
        <f t="shared" ref="U63:AD63" si="5">U69/(1-$F$8)</f>
        <v>6345177.6649746196</v>
      </c>
      <c r="V63" s="33">
        <f t="shared" si="5"/>
        <v>9517766.4974619299</v>
      </c>
      <c r="W63" s="33">
        <f t="shared" si="5"/>
        <v>15862944.162436549</v>
      </c>
      <c r="X63" s="33">
        <f t="shared" si="5"/>
        <v>25380710.659898479</v>
      </c>
      <c r="Y63" s="33">
        <f t="shared" si="5"/>
        <v>38071065.98984772</v>
      </c>
      <c r="Z63" s="33">
        <f t="shared" si="5"/>
        <v>50761421.319796957</v>
      </c>
      <c r="AA63" s="33">
        <f t="shared" si="5"/>
        <v>63451776.649746194</v>
      </c>
      <c r="AB63" s="33">
        <f t="shared" si="5"/>
        <v>82487309.644670054</v>
      </c>
      <c r="AC63" s="33">
        <f t="shared" si="5"/>
        <v>101522842.63959391</v>
      </c>
      <c r="AD63" s="33">
        <f t="shared" si="5"/>
        <v>126903553.29949239</v>
      </c>
      <c r="AF63" s="47">
        <f>SUM(U63:AD63)</f>
        <v>520304568.52791882</v>
      </c>
    </row>
    <row r="64" spans="2:33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91" t="s">
        <v>87</v>
      </c>
      <c r="T64" s="91"/>
      <c r="U64" s="33">
        <f t="shared" ref="U64:AD64" si="6">U70/(1-$H$8)</f>
        <v>1344086.0215053763</v>
      </c>
      <c r="V64" s="33">
        <f t="shared" si="6"/>
        <v>2016129.0322580647</v>
      </c>
      <c r="W64" s="33">
        <f t="shared" si="6"/>
        <v>3360215.0537634413</v>
      </c>
      <c r="X64" s="33">
        <f t="shared" si="6"/>
        <v>5376344.0860215053</v>
      </c>
      <c r="Y64" s="33">
        <f t="shared" si="6"/>
        <v>8064516.1290322589</v>
      </c>
      <c r="Z64" s="33">
        <f t="shared" si="6"/>
        <v>10752688.172043011</v>
      </c>
      <c r="AA64" s="33">
        <f t="shared" si="6"/>
        <v>13440860.215053765</v>
      </c>
      <c r="AB64" s="33">
        <f t="shared" si="6"/>
        <v>17473118.279569894</v>
      </c>
      <c r="AC64" s="33">
        <f t="shared" si="6"/>
        <v>21505376.344086021</v>
      </c>
      <c r="AD64" s="33">
        <f t="shared" si="6"/>
        <v>26881720.43010753</v>
      </c>
      <c r="AF64" s="47">
        <f>SUM(U64:AD64)</f>
        <v>110215053.76344088</v>
      </c>
    </row>
    <row r="65" spans="2:33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56"/>
      <c r="O65" s="25"/>
      <c r="P65" s="229"/>
      <c r="S65" s="53" t="s">
        <v>28</v>
      </c>
      <c r="T65" s="53"/>
      <c r="U65" s="86">
        <f t="shared" ref="U65:AD65" si="7">SUM(U62:U64)</f>
        <v>50836471.808307409</v>
      </c>
      <c r="V65" s="86">
        <f t="shared" si="7"/>
        <v>76254707.712461114</v>
      </c>
      <c r="W65" s="86">
        <f t="shared" si="7"/>
        <v>127091179.52076851</v>
      </c>
      <c r="X65" s="86">
        <f t="shared" si="7"/>
        <v>203345887.23322964</v>
      </c>
      <c r="Y65" s="86">
        <f t="shared" si="7"/>
        <v>305018830.84984446</v>
      </c>
      <c r="Z65" s="86">
        <f t="shared" si="7"/>
        <v>406691774.46645927</v>
      </c>
      <c r="AA65" s="86">
        <f t="shared" si="7"/>
        <v>508364718.08307403</v>
      </c>
      <c r="AB65" s="86">
        <f t="shared" si="7"/>
        <v>660874133.5079962</v>
      </c>
      <c r="AC65" s="86">
        <f t="shared" si="7"/>
        <v>813383548.93291855</v>
      </c>
      <c r="AD65" s="86">
        <f t="shared" si="7"/>
        <v>1016729436.1661481</v>
      </c>
      <c r="AE65" s="48"/>
      <c r="AF65" s="49">
        <f>SUM(U65:AD65)</f>
        <v>4168590688.2812076</v>
      </c>
    </row>
    <row r="66" spans="2:33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56"/>
      <c r="M66" s="25"/>
      <c r="N66" s="25"/>
      <c r="O66" s="25"/>
      <c r="P66" s="229"/>
    </row>
    <row r="67" spans="2:33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S67" s="17" t="s">
        <v>20</v>
      </c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</row>
    <row r="68" spans="2:33">
      <c r="B68" s="25"/>
      <c r="C68" s="25"/>
      <c r="D68" s="230"/>
      <c r="E68" s="230"/>
      <c r="F68" s="230"/>
      <c r="G68" s="230"/>
      <c r="H68" s="230"/>
      <c r="I68" s="230"/>
      <c r="J68" s="230"/>
      <c r="K68" s="230"/>
      <c r="L68" s="230"/>
      <c r="M68" s="25"/>
      <c r="N68" s="230"/>
      <c r="O68" s="25"/>
      <c r="P68" s="111"/>
      <c r="S68" s="91" t="s">
        <v>90</v>
      </c>
      <c r="T68" s="91"/>
      <c r="U68" s="50">
        <f t="shared" ref="U68:AD68" si="8">($D$11/$P$11)*U71</f>
        <v>42500000</v>
      </c>
      <c r="V68" s="50">
        <f t="shared" si="8"/>
        <v>63750000</v>
      </c>
      <c r="W68" s="50">
        <f t="shared" si="8"/>
        <v>106250000</v>
      </c>
      <c r="X68" s="50">
        <f t="shared" si="8"/>
        <v>170000000</v>
      </c>
      <c r="Y68" s="50">
        <f t="shared" si="8"/>
        <v>255000000</v>
      </c>
      <c r="Z68" s="50">
        <f t="shared" si="8"/>
        <v>340000000</v>
      </c>
      <c r="AA68" s="50">
        <f t="shared" si="8"/>
        <v>425000000</v>
      </c>
      <c r="AB68" s="50">
        <f t="shared" si="8"/>
        <v>552500000</v>
      </c>
      <c r="AC68" s="50">
        <f t="shared" si="8"/>
        <v>680000000</v>
      </c>
      <c r="AD68" s="50">
        <f t="shared" si="8"/>
        <v>850000000</v>
      </c>
      <c r="AF68" s="47">
        <f>SUM(U68:AD68)</f>
        <v>3485000000</v>
      </c>
    </row>
    <row r="69" spans="2:33">
      <c r="B69" s="25"/>
      <c r="C69" s="25"/>
      <c r="D69" s="229"/>
      <c r="E69" s="229"/>
      <c r="F69" s="229"/>
      <c r="G69" s="229"/>
      <c r="H69" s="229"/>
      <c r="I69" s="229"/>
      <c r="J69" s="229"/>
      <c r="K69" s="229"/>
      <c r="L69" s="229"/>
      <c r="M69" s="25"/>
      <c r="N69" s="56"/>
      <c r="O69" s="25"/>
      <c r="P69" s="229"/>
      <c r="S69" s="91" t="s">
        <v>88</v>
      </c>
      <c r="T69" s="91"/>
      <c r="U69" s="50">
        <f t="shared" ref="U69:AD69" si="9">U71-U68-U70</f>
        <v>6250000</v>
      </c>
      <c r="V69" s="50">
        <f t="shared" si="9"/>
        <v>9375000</v>
      </c>
      <c r="W69" s="50">
        <f t="shared" si="9"/>
        <v>15625000</v>
      </c>
      <c r="X69" s="50">
        <f t="shared" si="9"/>
        <v>25000000</v>
      </c>
      <c r="Y69" s="50">
        <f t="shared" si="9"/>
        <v>37500000</v>
      </c>
      <c r="Z69" s="50">
        <f t="shared" si="9"/>
        <v>50000000</v>
      </c>
      <c r="AA69" s="50">
        <f t="shared" si="9"/>
        <v>62500000</v>
      </c>
      <c r="AB69" s="50">
        <f t="shared" si="9"/>
        <v>81250000</v>
      </c>
      <c r="AC69" s="50">
        <f t="shared" si="9"/>
        <v>100000000</v>
      </c>
      <c r="AD69" s="50">
        <f t="shared" si="9"/>
        <v>125000000</v>
      </c>
      <c r="AF69" s="47">
        <f>SUM(U69:AD69)</f>
        <v>512500000</v>
      </c>
    </row>
    <row r="70" spans="2:33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S70" s="91" t="s">
        <v>87</v>
      </c>
      <c r="T70" s="91"/>
      <c r="U70" s="60">
        <f t="shared" ref="U70:AD70" si="10">($H$11/$P$11)*U71</f>
        <v>1250000</v>
      </c>
      <c r="V70" s="60">
        <f t="shared" si="10"/>
        <v>1875000</v>
      </c>
      <c r="W70" s="60">
        <f t="shared" si="10"/>
        <v>3125000</v>
      </c>
      <c r="X70" s="60">
        <f t="shared" si="10"/>
        <v>5000000</v>
      </c>
      <c r="Y70" s="60">
        <f t="shared" si="10"/>
        <v>7500000</v>
      </c>
      <c r="Z70" s="60">
        <f t="shared" si="10"/>
        <v>10000000</v>
      </c>
      <c r="AA70" s="60">
        <f t="shared" si="10"/>
        <v>12500000</v>
      </c>
      <c r="AB70" s="60">
        <f t="shared" si="10"/>
        <v>16250000</v>
      </c>
      <c r="AC70" s="60">
        <f t="shared" si="10"/>
        <v>20000000</v>
      </c>
      <c r="AD70" s="60">
        <f t="shared" si="10"/>
        <v>25000000</v>
      </c>
      <c r="AF70" s="47">
        <f>SUM(U70:AD70)</f>
        <v>102500000</v>
      </c>
    </row>
    <row r="71" spans="2:33">
      <c r="B71" s="25"/>
      <c r="C71" s="25"/>
      <c r="D71" s="230"/>
      <c r="E71" s="25"/>
      <c r="F71" s="230"/>
      <c r="G71" s="25"/>
      <c r="H71" s="230"/>
      <c r="I71" s="25"/>
      <c r="J71" s="230"/>
      <c r="K71" s="25"/>
      <c r="L71" s="230"/>
      <c r="M71" s="25"/>
      <c r="N71" s="25"/>
      <c r="O71" s="25"/>
      <c r="P71" s="111"/>
      <c r="S71" s="53" t="s">
        <v>86</v>
      </c>
      <c r="T71" s="53"/>
      <c r="U71" s="86">
        <v>50000000</v>
      </c>
      <c r="V71" s="86">
        <v>75000000</v>
      </c>
      <c r="W71" s="86">
        <v>125000000</v>
      </c>
      <c r="X71" s="86">
        <v>200000000</v>
      </c>
      <c r="Y71" s="86">
        <v>300000000</v>
      </c>
      <c r="Z71" s="86">
        <v>400000000</v>
      </c>
      <c r="AA71" s="86">
        <v>500000000</v>
      </c>
      <c r="AB71" s="86">
        <v>650000000</v>
      </c>
      <c r="AC71" s="86">
        <v>800000000</v>
      </c>
      <c r="AD71" s="86">
        <v>1000000000</v>
      </c>
      <c r="AE71" s="48"/>
      <c r="AF71" s="49">
        <f>SUM(U71:AD71)</f>
        <v>4100000000</v>
      </c>
    </row>
    <row r="72" spans="2:33">
      <c r="B72" s="25"/>
      <c r="C72" s="25"/>
      <c r="D72" s="56"/>
      <c r="E72" s="229"/>
      <c r="F72" s="56"/>
      <c r="G72" s="229"/>
      <c r="H72" s="56"/>
      <c r="I72" s="229"/>
      <c r="J72" s="56"/>
      <c r="K72" s="229"/>
      <c r="L72" s="56"/>
      <c r="M72" s="25"/>
      <c r="N72" s="25"/>
      <c r="O72" s="25"/>
      <c r="P72" s="56"/>
      <c r="S72" s="51"/>
      <c r="T72" s="51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3"/>
      <c r="AF72" s="87"/>
    </row>
    <row r="73" spans="2:33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57"/>
      <c r="S73" t="s">
        <v>70</v>
      </c>
      <c r="U73" s="92">
        <f t="shared" ref="U73:AD73" si="11">U71*$U$9</f>
        <v>5000000</v>
      </c>
      <c r="V73" s="92">
        <f t="shared" si="11"/>
        <v>7500000</v>
      </c>
      <c r="W73" s="92">
        <f t="shared" si="11"/>
        <v>12500000</v>
      </c>
      <c r="X73" s="92">
        <f t="shared" si="11"/>
        <v>20000000</v>
      </c>
      <c r="Y73" s="92">
        <f t="shared" si="11"/>
        <v>30000000</v>
      </c>
      <c r="Z73" s="92">
        <f t="shared" si="11"/>
        <v>40000000</v>
      </c>
      <c r="AA73" s="92">
        <f t="shared" si="11"/>
        <v>50000000</v>
      </c>
      <c r="AB73" s="92">
        <f t="shared" si="11"/>
        <v>65000000</v>
      </c>
      <c r="AC73" s="92">
        <f t="shared" si="11"/>
        <v>80000000</v>
      </c>
      <c r="AD73" s="92">
        <f t="shared" si="11"/>
        <v>100000000</v>
      </c>
      <c r="AE73" s="3"/>
      <c r="AF73" s="3"/>
      <c r="AG73" s="3"/>
    </row>
    <row r="74" spans="2:33">
      <c r="B74" s="25"/>
      <c r="C74" s="25"/>
      <c r="D74" s="230"/>
      <c r="E74" s="230"/>
      <c r="F74" s="230"/>
      <c r="G74" s="230"/>
      <c r="H74" s="230"/>
      <c r="I74" s="230"/>
      <c r="J74" s="230"/>
      <c r="K74" s="230"/>
      <c r="L74" s="230"/>
      <c r="M74" s="25"/>
      <c r="N74" s="25"/>
      <c r="O74" s="25"/>
      <c r="P74" s="111"/>
      <c r="S74" s="3"/>
      <c r="T74" s="3"/>
      <c r="U74" s="3"/>
      <c r="V74" s="3"/>
      <c r="W74" s="65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2:33" ht="16.5" thickBot="1">
      <c r="B75" s="25"/>
      <c r="C75" s="25"/>
      <c r="D75" s="56"/>
      <c r="E75" s="229"/>
      <c r="F75" s="56"/>
      <c r="G75" s="229"/>
      <c r="H75" s="56"/>
      <c r="I75" s="229"/>
      <c r="J75" s="56"/>
      <c r="K75" s="229"/>
      <c r="L75" s="56"/>
      <c r="M75" s="25"/>
      <c r="N75" s="25"/>
      <c r="O75" s="25"/>
      <c r="P75" s="56"/>
      <c r="S75" s="93" t="s">
        <v>21</v>
      </c>
      <c r="T75" s="93"/>
      <c r="U75" s="94">
        <f>U71+U73</f>
        <v>55000000</v>
      </c>
      <c r="V75" s="94">
        <f t="shared" ref="V75:AD75" si="12">V71+V73</f>
        <v>82500000</v>
      </c>
      <c r="W75" s="94">
        <f t="shared" si="12"/>
        <v>137500000</v>
      </c>
      <c r="X75" s="94">
        <f t="shared" si="12"/>
        <v>220000000</v>
      </c>
      <c r="Y75" s="94">
        <f t="shared" si="12"/>
        <v>330000000</v>
      </c>
      <c r="Z75" s="94">
        <f t="shared" si="12"/>
        <v>440000000</v>
      </c>
      <c r="AA75" s="94">
        <f t="shared" si="12"/>
        <v>550000000</v>
      </c>
      <c r="AB75" s="94">
        <f t="shared" si="12"/>
        <v>715000000</v>
      </c>
      <c r="AC75" s="94">
        <f t="shared" si="12"/>
        <v>880000000</v>
      </c>
      <c r="AD75" s="94">
        <f t="shared" si="12"/>
        <v>1100000000</v>
      </c>
      <c r="AE75" s="93"/>
      <c r="AF75" s="93"/>
      <c r="AG75" s="3"/>
    </row>
    <row r="76" spans="2:33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AG76" s="3"/>
    </row>
    <row r="77" spans="2:33">
      <c r="B77" s="25"/>
      <c r="C77" s="25"/>
      <c r="D77" s="230"/>
      <c r="E77" s="25"/>
      <c r="F77" s="230"/>
      <c r="G77" s="25"/>
      <c r="H77" s="230"/>
      <c r="I77" s="25"/>
      <c r="J77" s="230"/>
      <c r="K77" s="25"/>
      <c r="L77" s="230"/>
      <c r="M77" s="25"/>
      <c r="N77" s="25"/>
      <c r="O77" s="25"/>
      <c r="P77" s="111"/>
      <c r="S77" s="54" t="s">
        <v>6</v>
      </c>
      <c r="T77" s="3"/>
      <c r="U77" s="26">
        <v>0.2</v>
      </c>
      <c r="V77" s="26">
        <v>0.2</v>
      </c>
      <c r="W77" s="26">
        <v>0.2</v>
      </c>
      <c r="X77" s="26">
        <v>0.2</v>
      </c>
      <c r="Y77" s="26">
        <v>0.2</v>
      </c>
      <c r="Z77" s="26">
        <v>0.2</v>
      </c>
      <c r="AA77" s="26">
        <v>0.17</v>
      </c>
      <c r="AB77" s="26">
        <v>0.17</v>
      </c>
      <c r="AC77" s="26">
        <v>0.15</v>
      </c>
      <c r="AD77" s="26">
        <v>0.15</v>
      </c>
      <c r="AE77" s="3"/>
      <c r="AF77" s="87"/>
      <c r="AG77" s="3"/>
    </row>
    <row r="78" spans="2:33">
      <c r="B78" s="55"/>
      <c r="C78" s="55"/>
      <c r="D78" s="231"/>
      <c r="E78" s="55"/>
      <c r="F78" s="231"/>
      <c r="G78" s="55"/>
      <c r="H78" s="232"/>
      <c r="I78" s="55"/>
      <c r="J78" s="231"/>
      <c r="K78" s="55"/>
      <c r="L78" s="231"/>
      <c r="M78" s="55"/>
      <c r="N78" s="232"/>
      <c r="O78" s="55"/>
      <c r="P78" s="233"/>
      <c r="S78" s="89" t="s">
        <v>101</v>
      </c>
      <c r="T78" s="89"/>
      <c r="U78" s="87">
        <f>U75*U77</f>
        <v>11000000</v>
      </c>
      <c r="V78" s="87">
        <f t="shared" ref="V78:AD78" si="13">V75*V77</f>
        <v>16500000</v>
      </c>
      <c r="W78" s="87">
        <f t="shared" si="13"/>
        <v>27500000</v>
      </c>
      <c r="X78" s="87">
        <f t="shared" si="13"/>
        <v>44000000</v>
      </c>
      <c r="Y78" s="87">
        <f t="shared" si="13"/>
        <v>66000000</v>
      </c>
      <c r="Z78" s="87">
        <f t="shared" si="13"/>
        <v>88000000</v>
      </c>
      <c r="AA78" s="87">
        <f t="shared" si="13"/>
        <v>93500000</v>
      </c>
      <c r="AB78" s="87">
        <f t="shared" si="13"/>
        <v>121550000.00000001</v>
      </c>
      <c r="AC78" s="87">
        <f t="shared" si="13"/>
        <v>132000000</v>
      </c>
      <c r="AD78" s="87">
        <f t="shared" si="13"/>
        <v>165000000</v>
      </c>
      <c r="AE78" s="3"/>
      <c r="AF78" s="87"/>
      <c r="AG78" s="3"/>
    </row>
    <row r="79" spans="2:33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AG79" s="3"/>
    </row>
    <row r="80" spans="2:33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56"/>
      <c r="S80" t="s">
        <v>102</v>
      </c>
      <c r="U80" s="36">
        <f>U75-U78</f>
        <v>44000000</v>
      </c>
      <c r="V80" s="36">
        <f t="shared" ref="V80:AD80" si="14">V75-V78</f>
        <v>66000000</v>
      </c>
      <c r="W80" s="36">
        <f t="shared" si="14"/>
        <v>110000000</v>
      </c>
      <c r="X80" s="36">
        <f t="shared" si="14"/>
        <v>176000000</v>
      </c>
      <c r="Y80" s="36">
        <f t="shared" si="14"/>
        <v>264000000</v>
      </c>
      <c r="Z80" s="36">
        <f t="shared" si="14"/>
        <v>352000000</v>
      </c>
      <c r="AA80" s="36">
        <f t="shared" si="14"/>
        <v>456500000</v>
      </c>
      <c r="AB80" s="36">
        <f t="shared" si="14"/>
        <v>593450000</v>
      </c>
      <c r="AC80" s="36">
        <f t="shared" si="14"/>
        <v>748000000</v>
      </c>
      <c r="AD80" s="36">
        <f t="shared" si="14"/>
        <v>935000000</v>
      </c>
      <c r="AG80" s="3"/>
    </row>
    <row r="81" spans="2:33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S81" t="s">
        <v>74</v>
      </c>
      <c r="U81" s="19">
        <f>U80/U65</f>
        <v>0.86552033284122931</v>
      </c>
      <c r="V81" s="19">
        <f t="shared" ref="V81:AD81" si="15">V80/V65</f>
        <v>0.86552033284122931</v>
      </c>
      <c r="W81" s="19">
        <f t="shared" si="15"/>
        <v>0.86552033284122942</v>
      </c>
      <c r="X81" s="19">
        <f t="shared" si="15"/>
        <v>0.86552033284122931</v>
      </c>
      <c r="Y81" s="19">
        <f t="shared" si="15"/>
        <v>0.86552033284122931</v>
      </c>
      <c r="Z81" s="19">
        <f t="shared" si="15"/>
        <v>0.86552033284122931</v>
      </c>
      <c r="AA81" s="19">
        <f t="shared" si="15"/>
        <v>0.89797734532277551</v>
      </c>
      <c r="AB81" s="19">
        <f t="shared" si="15"/>
        <v>0.89797734532277562</v>
      </c>
      <c r="AC81" s="19">
        <f t="shared" si="15"/>
        <v>0.9196153536438062</v>
      </c>
      <c r="AD81" s="19">
        <f t="shared" si="15"/>
        <v>0.91961535364380631</v>
      </c>
      <c r="AG81" s="3"/>
    </row>
    <row r="82" spans="2:33"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233"/>
      <c r="AG82" s="3"/>
    </row>
    <row r="83" spans="2:33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R83" s="102" t="s">
        <v>0</v>
      </c>
      <c r="S83" s="103"/>
      <c r="AG83" s="3"/>
    </row>
    <row r="84" spans="2:33">
      <c r="B84" s="40"/>
      <c r="C84" s="40"/>
      <c r="D84" s="163"/>
      <c r="E84" s="40"/>
      <c r="F84" s="163"/>
      <c r="G84" s="40"/>
      <c r="H84" s="40"/>
      <c r="I84" s="40"/>
      <c r="J84" s="163"/>
      <c r="K84" s="40"/>
      <c r="L84" s="163"/>
      <c r="M84" s="40"/>
      <c r="N84" s="40"/>
      <c r="O84" s="40"/>
      <c r="P84" s="163"/>
      <c r="S84" s="3" t="s">
        <v>10</v>
      </c>
      <c r="T84" s="3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3"/>
      <c r="AF84" s="87"/>
      <c r="AG84" s="3"/>
    </row>
    <row r="85" spans="2:33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S85" s="95" t="s">
        <v>90</v>
      </c>
      <c r="T85" s="95"/>
      <c r="U85" s="65">
        <f t="shared" ref="U85:AD85" si="16">U68*$D$18</f>
        <v>2125000</v>
      </c>
      <c r="V85" s="65">
        <f t="shared" si="16"/>
        <v>3187500</v>
      </c>
      <c r="W85" s="65">
        <f t="shared" si="16"/>
        <v>5312500</v>
      </c>
      <c r="X85" s="65">
        <f t="shared" si="16"/>
        <v>8500000</v>
      </c>
      <c r="Y85" s="65">
        <f t="shared" si="16"/>
        <v>12750000</v>
      </c>
      <c r="Z85" s="65">
        <f t="shared" si="16"/>
        <v>17000000</v>
      </c>
      <c r="AA85" s="65">
        <f t="shared" si="16"/>
        <v>21250000</v>
      </c>
      <c r="AB85" s="65">
        <f t="shared" si="16"/>
        <v>27625000</v>
      </c>
      <c r="AC85" s="65">
        <f t="shared" si="16"/>
        <v>34000000</v>
      </c>
      <c r="AD85" s="65">
        <f t="shared" si="16"/>
        <v>42500000</v>
      </c>
      <c r="AE85" s="3"/>
      <c r="AF85" s="87"/>
      <c r="AG85" s="3"/>
    </row>
    <row r="86" spans="2:33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S86" s="95" t="s">
        <v>88</v>
      </c>
      <c r="T86" s="95"/>
      <c r="U86" s="65">
        <f t="shared" ref="U86:AD86" si="17">U69*$F$18</f>
        <v>156250</v>
      </c>
      <c r="V86" s="65">
        <f t="shared" si="17"/>
        <v>234375</v>
      </c>
      <c r="W86" s="65">
        <f t="shared" si="17"/>
        <v>390625</v>
      </c>
      <c r="X86" s="65">
        <f t="shared" si="17"/>
        <v>625000</v>
      </c>
      <c r="Y86" s="65">
        <f t="shared" si="17"/>
        <v>937500</v>
      </c>
      <c r="Z86" s="65">
        <f t="shared" si="17"/>
        <v>1250000</v>
      </c>
      <c r="AA86" s="65">
        <f t="shared" si="17"/>
        <v>1562500</v>
      </c>
      <c r="AB86" s="65">
        <f t="shared" si="17"/>
        <v>2031250</v>
      </c>
      <c r="AC86" s="65">
        <f t="shared" si="17"/>
        <v>2500000</v>
      </c>
      <c r="AD86" s="65">
        <f t="shared" si="17"/>
        <v>3125000</v>
      </c>
      <c r="AE86" s="3"/>
      <c r="AF86" s="87"/>
      <c r="AG86" s="3"/>
    </row>
    <row r="87" spans="2:33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S87" s="95" t="s">
        <v>87</v>
      </c>
      <c r="T87" s="95"/>
      <c r="U87" s="65">
        <f t="shared" ref="U87:AD87" si="18">U70*$H$18</f>
        <v>187500</v>
      </c>
      <c r="V87" s="65">
        <f t="shared" si="18"/>
        <v>281250</v>
      </c>
      <c r="W87" s="65">
        <f t="shared" si="18"/>
        <v>468750</v>
      </c>
      <c r="X87" s="65">
        <f t="shared" si="18"/>
        <v>750000</v>
      </c>
      <c r="Y87" s="65">
        <f t="shared" si="18"/>
        <v>1125000</v>
      </c>
      <c r="Z87" s="65">
        <f t="shared" si="18"/>
        <v>1500000</v>
      </c>
      <c r="AA87" s="65">
        <f t="shared" si="18"/>
        <v>1875000</v>
      </c>
      <c r="AB87" s="65">
        <f t="shared" si="18"/>
        <v>2437500</v>
      </c>
      <c r="AC87" s="65">
        <f t="shared" si="18"/>
        <v>3000000</v>
      </c>
      <c r="AD87" s="65">
        <f t="shared" si="18"/>
        <v>3750000</v>
      </c>
      <c r="AE87" s="3"/>
      <c r="AF87" s="87"/>
      <c r="AG87" s="3"/>
    </row>
    <row r="88" spans="2:33">
      <c r="B88" t="s">
        <v>54</v>
      </c>
      <c r="S88" s="95" t="s">
        <v>41</v>
      </c>
      <c r="T88" s="95"/>
      <c r="U88" s="65">
        <f t="shared" ref="U88:AD88" si="19">U73*$T$21</f>
        <v>126249.99999999999</v>
      </c>
      <c r="V88" s="65">
        <f t="shared" si="19"/>
        <v>189375</v>
      </c>
      <c r="W88" s="65">
        <f t="shared" si="19"/>
        <v>315625</v>
      </c>
      <c r="X88" s="65">
        <f t="shared" si="19"/>
        <v>504999.99999999994</v>
      </c>
      <c r="Y88" s="65">
        <f t="shared" si="19"/>
        <v>757500</v>
      </c>
      <c r="Z88" s="65">
        <f t="shared" si="19"/>
        <v>1009999.9999999999</v>
      </c>
      <c r="AA88" s="65">
        <f t="shared" si="19"/>
        <v>1262500</v>
      </c>
      <c r="AB88" s="65">
        <f t="shared" si="19"/>
        <v>1641249.9999999998</v>
      </c>
      <c r="AC88" s="65">
        <f t="shared" si="19"/>
        <v>2019999.9999999998</v>
      </c>
      <c r="AD88" s="65">
        <f t="shared" si="19"/>
        <v>2525000</v>
      </c>
      <c r="AE88" s="3"/>
      <c r="AF88" s="3"/>
      <c r="AG88" s="3"/>
    </row>
    <row r="89" spans="2:33">
      <c r="B89" t="s">
        <v>55</v>
      </c>
      <c r="R89" s="25"/>
      <c r="S89" s="96" t="s">
        <v>92</v>
      </c>
      <c r="T89" s="96"/>
      <c r="U89" s="97">
        <f t="shared" ref="U89:AD89" si="20">SUM(U85:U88)</f>
        <v>2595000</v>
      </c>
      <c r="V89" s="97">
        <f t="shared" si="20"/>
        <v>3892500</v>
      </c>
      <c r="W89" s="97">
        <f t="shared" si="20"/>
        <v>6487500</v>
      </c>
      <c r="X89" s="97">
        <f t="shared" si="20"/>
        <v>10380000</v>
      </c>
      <c r="Y89" s="97">
        <f t="shared" si="20"/>
        <v>15570000</v>
      </c>
      <c r="Z89" s="97">
        <f t="shared" si="20"/>
        <v>20760000</v>
      </c>
      <c r="AA89" s="97">
        <f t="shared" si="20"/>
        <v>25950000</v>
      </c>
      <c r="AB89" s="97">
        <f t="shared" si="20"/>
        <v>33735000</v>
      </c>
      <c r="AC89" s="97">
        <f t="shared" si="20"/>
        <v>41520000</v>
      </c>
      <c r="AD89" s="97">
        <f t="shared" si="20"/>
        <v>51900000</v>
      </c>
      <c r="AE89" s="48"/>
      <c r="AF89" s="48"/>
    </row>
    <row r="90" spans="2:33" ht="16.5" thickBot="1">
      <c r="R90" s="25"/>
      <c r="S90" s="3"/>
      <c r="T90" s="3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3"/>
      <c r="AF90" s="3"/>
    </row>
    <row r="91" spans="2:33">
      <c r="B91" s="147" t="s">
        <v>150</v>
      </c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4"/>
      <c r="S91" s="3" t="s">
        <v>93</v>
      </c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2:33">
      <c r="B92" s="131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7"/>
      <c r="S92" s="95" t="s">
        <v>90</v>
      </c>
      <c r="T92" s="95"/>
      <c r="U92" s="87">
        <f t="shared" ref="U92:AD92" si="21">-U62*U$81*$T$20</f>
        <v>-373447.85934773856</v>
      </c>
      <c r="V92" s="87">
        <f t="shared" si="21"/>
        <v>-560171.78902160784</v>
      </c>
      <c r="W92" s="87">
        <f t="shared" si="21"/>
        <v>-933619.6483693464</v>
      </c>
      <c r="X92" s="87">
        <f t="shared" si="21"/>
        <v>-1493791.4373909542</v>
      </c>
      <c r="Y92" s="87">
        <f t="shared" si="21"/>
        <v>-2240687.1560864314</v>
      </c>
      <c r="Z92" s="87">
        <f t="shared" si="21"/>
        <v>-2987582.8747819085</v>
      </c>
      <c r="AA92" s="87">
        <f t="shared" si="21"/>
        <v>-3874521.5407327879</v>
      </c>
      <c r="AB92" s="87">
        <f t="shared" si="21"/>
        <v>-5036878.002952625</v>
      </c>
      <c r="AC92" s="87">
        <f t="shared" si="21"/>
        <v>-6348613.6089115553</v>
      </c>
      <c r="AD92" s="87">
        <f t="shared" si="21"/>
        <v>-7935767.011139445</v>
      </c>
      <c r="AE92" s="25"/>
      <c r="AF92" s="25"/>
    </row>
    <row r="93" spans="2:33">
      <c r="B93" s="125" t="s">
        <v>122</v>
      </c>
      <c r="C93" s="126"/>
      <c r="D93" s="126" t="s">
        <v>23</v>
      </c>
      <c r="E93" s="126"/>
      <c r="F93" s="135" t="s">
        <v>131</v>
      </c>
      <c r="G93" s="135"/>
      <c r="H93" s="135" t="s">
        <v>105</v>
      </c>
      <c r="I93" s="135"/>
      <c r="J93" s="135" t="s">
        <v>123</v>
      </c>
      <c r="K93" s="135"/>
      <c r="L93" s="135" t="s">
        <v>41</v>
      </c>
      <c r="M93" s="126"/>
      <c r="N93" s="126" t="s">
        <v>3</v>
      </c>
      <c r="O93" s="127"/>
      <c r="S93" s="95" t="s">
        <v>88</v>
      </c>
      <c r="T93" s="95"/>
      <c r="U93" s="87">
        <f t="shared" ref="U93:AD93" si="22">-U63*U$81*$T$20</f>
        <v>-54918.802845255668</v>
      </c>
      <c r="V93" s="87">
        <f t="shared" si="22"/>
        <v>-82378.204267883513</v>
      </c>
      <c r="W93" s="87">
        <f t="shared" si="22"/>
        <v>-137297.00711313917</v>
      </c>
      <c r="X93" s="87">
        <f t="shared" si="22"/>
        <v>-219675.21138102267</v>
      </c>
      <c r="Y93" s="87">
        <f t="shared" si="22"/>
        <v>-329512.81707153405</v>
      </c>
      <c r="Z93" s="87">
        <f t="shared" si="22"/>
        <v>-439350.42276204535</v>
      </c>
      <c r="AA93" s="87">
        <f t="shared" si="22"/>
        <v>-569782.57951952762</v>
      </c>
      <c r="AB93" s="87">
        <f t="shared" si="22"/>
        <v>-740717.35337538598</v>
      </c>
      <c r="AC93" s="87">
        <f t="shared" si="22"/>
        <v>-933619.6483693464</v>
      </c>
      <c r="AD93" s="87">
        <f t="shared" si="22"/>
        <v>-1167024.5604616832</v>
      </c>
      <c r="AE93" s="3"/>
      <c r="AF93" s="3"/>
    </row>
    <row r="94" spans="2:33">
      <c r="B94" s="128">
        <f>'Model-2-High'!B94</f>
        <v>0</v>
      </c>
      <c r="C94" s="126"/>
      <c r="D94" s="129">
        <f>$N$18*($N$15/$P$11)*B94</f>
        <v>0</v>
      </c>
      <c r="E94" s="126"/>
      <c r="F94" s="129">
        <f>$P$50*B94</f>
        <v>0</v>
      </c>
      <c r="G94" s="126"/>
      <c r="H94" s="130">
        <f>L38</f>
        <v>-59400000</v>
      </c>
      <c r="I94" s="126"/>
      <c r="J94" s="126"/>
      <c r="K94" s="126"/>
      <c r="L94" s="130">
        <f>N40</f>
        <v>-15000000</v>
      </c>
      <c r="M94" s="126"/>
      <c r="N94" s="129">
        <f>D94+F94+H94+L94</f>
        <v>-74400000</v>
      </c>
      <c r="O94" s="127"/>
      <c r="S94" s="95" t="s">
        <v>87</v>
      </c>
      <c r="T94" s="95"/>
      <c r="U94" s="87">
        <f t="shared" ref="U94:AD94" si="23">-U64*U$81*$T$20</f>
        <v>-11633.33780700577</v>
      </c>
      <c r="V94" s="87">
        <f t="shared" si="23"/>
        <v>-17450.006710508656</v>
      </c>
      <c r="W94" s="87">
        <f t="shared" si="23"/>
        <v>-29083.34451751443</v>
      </c>
      <c r="X94" s="87">
        <f t="shared" si="23"/>
        <v>-46533.351228023079</v>
      </c>
      <c r="Y94" s="87">
        <f t="shared" si="23"/>
        <v>-69800.026842034626</v>
      </c>
      <c r="Z94" s="87">
        <f t="shared" si="23"/>
        <v>-93066.702456046158</v>
      </c>
      <c r="AA94" s="87">
        <f t="shared" si="23"/>
        <v>-120695.8797476849</v>
      </c>
      <c r="AB94" s="87">
        <f t="shared" si="23"/>
        <v>-156904.64367199037</v>
      </c>
      <c r="AC94" s="87">
        <f t="shared" si="23"/>
        <v>-197766.74271909811</v>
      </c>
      <c r="AD94" s="87">
        <f t="shared" si="23"/>
        <v>-247208.4283988727</v>
      </c>
      <c r="AE94" s="25"/>
      <c r="AF94" s="3"/>
    </row>
    <row r="95" spans="2:33">
      <c r="B95" s="128">
        <f>B$94*2</f>
        <v>0</v>
      </c>
      <c r="C95" s="126"/>
      <c r="D95" s="129">
        <f t="shared" ref="D95:D100" si="24">$N$18*($N$15/$P$11)*B95</f>
        <v>0</v>
      </c>
      <c r="E95" s="126"/>
      <c r="F95" s="129">
        <f t="shared" ref="F95:F100" si="25">$P$50*B95</f>
        <v>0</v>
      </c>
      <c r="G95" s="126"/>
      <c r="H95" s="130">
        <f>H94</f>
        <v>-59400000</v>
      </c>
      <c r="I95" s="126"/>
      <c r="J95" s="126"/>
      <c r="K95" s="126"/>
      <c r="L95" s="130">
        <f>L94</f>
        <v>-15000000</v>
      </c>
      <c r="M95" s="126"/>
      <c r="N95" s="129">
        <f t="shared" ref="N95:N100" si="26">D95+F95+H95+L95</f>
        <v>-74400000</v>
      </c>
      <c r="O95" s="127"/>
      <c r="S95" s="96" t="s">
        <v>94</v>
      </c>
      <c r="T95" s="96"/>
      <c r="U95" s="70">
        <f>SUM(U92:U94)</f>
        <v>-440000</v>
      </c>
      <c r="V95" s="70">
        <f t="shared" ref="V95:AD95" si="27">SUM(V92:V94)</f>
        <v>-660000</v>
      </c>
      <c r="W95" s="70">
        <f t="shared" si="27"/>
        <v>-1100000</v>
      </c>
      <c r="X95" s="70">
        <f t="shared" si="27"/>
        <v>-1760000</v>
      </c>
      <c r="Y95" s="70">
        <f t="shared" si="27"/>
        <v>-2640000</v>
      </c>
      <c r="Z95" s="70">
        <f t="shared" si="27"/>
        <v>-3520000</v>
      </c>
      <c r="AA95" s="70">
        <f t="shared" si="27"/>
        <v>-4565000.0000000009</v>
      </c>
      <c r="AB95" s="70">
        <f t="shared" si="27"/>
        <v>-5934500.0000000009</v>
      </c>
      <c r="AC95" s="70">
        <f t="shared" si="27"/>
        <v>-7480000</v>
      </c>
      <c r="AD95" s="70">
        <f t="shared" si="27"/>
        <v>-9350000</v>
      </c>
      <c r="AE95" s="48"/>
      <c r="AF95" s="48"/>
    </row>
    <row r="96" spans="2:33">
      <c r="B96" s="128">
        <f>B$94*3</f>
        <v>0</v>
      </c>
      <c r="C96" s="126"/>
      <c r="D96" s="129">
        <f t="shared" si="24"/>
        <v>0</v>
      </c>
      <c r="E96" s="126"/>
      <c r="F96" s="129">
        <f t="shared" si="25"/>
        <v>0</v>
      </c>
      <c r="G96" s="126"/>
      <c r="H96" s="130">
        <f t="shared" ref="H96:H100" si="28">H95</f>
        <v>-59400000</v>
      </c>
      <c r="I96" s="126"/>
      <c r="J96" s="126"/>
      <c r="K96" s="126"/>
      <c r="L96" s="130">
        <f t="shared" ref="L96:L100" si="29">L95</f>
        <v>-15000000</v>
      </c>
      <c r="M96" s="126"/>
      <c r="N96" s="129">
        <f t="shared" si="26"/>
        <v>-74400000</v>
      </c>
      <c r="O96" s="127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</row>
    <row r="97" spans="2:32">
      <c r="B97" s="128">
        <f>B$94*4</f>
        <v>0</v>
      </c>
      <c r="C97" s="126"/>
      <c r="D97" s="129">
        <f t="shared" si="24"/>
        <v>0</v>
      </c>
      <c r="E97" s="126"/>
      <c r="F97" s="129">
        <f t="shared" si="25"/>
        <v>0</v>
      </c>
      <c r="G97" s="126"/>
      <c r="H97" s="130">
        <f t="shared" si="28"/>
        <v>-59400000</v>
      </c>
      <c r="I97" s="126"/>
      <c r="J97" s="126"/>
      <c r="K97" s="126"/>
      <c r="L97" s="130">
        <f t="shared" si="29"/>
        <v>-15000000</v>
      </c>
      <c r="M97" s="126"/>
      <c r="N97" s="129">
        <f t="shared" si="26"/>
        <v>-74400000</v>
      </c>
      <c r="O97" s="127"/>
      <c r="S97" s="3" t="s">
        <v>24</v>
      </c>
      <c r="T97" s="3"/>
    </row>
    <row r="98" spans="2:32">
      <c r="B98" s="128">
        <f>B$94*5</f>
        <v>0</v>
      </c>
      <c r="C98" s="126"/>
      <c r="D98" s="129">
        <f t="shared" si="24"/>
        <v>0</v>
      </c>
      <c r="E98" s="126"/>
      <c r="F98" s="129">
        <f t="shared" si="25"/>
        <v>0</v>
      </c>
      <c r="G98" s="126"/>
      <c r="H98" s="130">
        <f t="shared" si="28"/>
        <v>-59400000</v>
      </c>
      <c r="I98" s="126"/>
      <c r="J98" s="126"/>
      <c r="K98" s="126"/>
      <c r="L98" s="130">
        <f t="shared" si="29"/>
        <v>-15000000</v>
      </c>
      <c r="M98" s="126"/>
      <c r="N98" s="129">
        <f t="shared" si="26"/>
        <v>-74400000</v>
      </c>
      <c r="O98" s="127"/>
      <c r="S98" s="95" t="s">
        <v>90</v>
      </c>
      <c r="T98" s="95"/>
      <c r="U98" s="33">
        <f t="shared" ref="U98:AD98" si="30">-U68*$D$25</f>
        <v>-850000</v>
      </c>
      <c r="V98" s="33">
        <f t="shared" si="30"/>
        <v>-1275000</v>
      </c>
      <c r="W98" s="33">
        <f t="shared" si="30"/>
        <v>-2125000</v>
      </c>
      <c r="X98" s="33">
        <f t="shared" si="30"/>
        <v>-3400000</v>
      </c>
      <c r="Y98" s="33">
        <f t="shared" si="30"/>
        <v>-5100000</v>
      </c>
      <c r="Z98" s="33">
        <f t="shared" si="30"/>
        <v>-6800000</v>
      </c>
      <c r="AA98" s="33">
        <f t="shared" si="30"/>
        <v>-8500000</v>
      </c>
      <c r="AB98" s="33">
        <f t="shared" si="30"/>
        <v>-11050000</v>
      </c>
      <c r="AC98" s="33">
        <f t="shared" si="30"/>
        <v>-13600000</v>
      </c>
      <c r="AD98" s="33">
        <f t="shared" si="30"/>
        <v>-17000000</v>
      </c>
    </row>
    <row r="99" spans="2:32">
      <c r="B99" s="128">
        <f>B$94*6</f>
        <v>0</v>
      </c>
      <c r="C99" s="126"/>
      <c r="D99" s="129">
        <f t="shared" si="24"/>
        <v>0</v>
      </c>
      <c r="E99" s="126"/>
      <c r="F99" s="129">
        <f t="shared" si="25"/>
        <v>0</v>
      </c>
      <c r="G99" s="126"/>
      <c r="H99" s="130">
        <f t="shared" si="28"/>
        <v>-59400000</v>
      </c>
      <c r="I99" s="126"/>
      <c r="J99" s="126"/>
      <c r="K99" s="126"/>
      <c r="L99" s="130">
        <f t="shared" si="29"/>
        <v>-15000000</v>
      </c>
      <c r="M99" s="126"/>
      <c r="N99" s="129">
        <f t="shared" si="26"/>
        <v>-74400000</v>
      </c>
      <c r="O99" s="127"/>
      <c r="S99" s="95" t="s">
        <v>88</v>
      </c>
      <c r="T99" s="95"/>
      <c r="U99" s="33">
        <f t="shared" ref="U99:AD99" si="31">-U69*$F$25</f>
        <v>-62500</v>
      </c>
      <c r="V99" s="33">
        <f t="shared" si="31"/>
        <v>-93750</v>
      </c>
      <c r="W99" s="33">
        <f t="shared" si="31"/>
        <v>-156250</v>
      </c>
      <c r="X99" s="33">
        <f t="shared" si="31"/>
        <v>-250000</v>
      </c>
      <c r="Y99" s="33">
        <f t="shared" si="31"/>
        <v>-375000</v>
      </c>
      <c r="Z99" s="33">
        <f t="shared" si="31"/>
        <v>-500000</v>
      </c>
      <c r="AA99" s="33">
        <f t="shared" si="31"/>
        <v>-625000</v>
      </c>
      <c r="AB99" s="33">
        <f t="shared" si="31"/>
        <v>-812500</v>
      </c>
      <c r="AC99" s="33">
        <f t="shared" si="31"/>
        <v>-1000000</v>
      </c>
      <c r="AD99" s="33">
        <f t="shared" si="31"/>
        <v>-1250000</v>
      </c>
    </row>
    <row r="100" spans="2:32">
      <c r="B100" s="128">
        <f>B$94*7</f>
        <v>0</v>
      </c>
      <c r="C100" s="126"/>
      <c r="D100" s="129">
        <f t="shared" si="24"/>
        <v>0</v>
      </c>
      <c r="E100" s="126"/>
      <c r="F100" s="129">
        <f t="shared" si="25"/>
        <v>0</v>
      </c>
      <c r="G100" s="126"/>
      <c r="H100" s="130">
        <f t="shared" si="28"/>
        <v>-59400000</v>
      </c>
      <c r="I100" s="126"/>
      <c r="J100" s="126"/>
      <c r="K100" s="126"/>
      <c r="L100" s="130">
        <f t="shared" si="29"/>
        <v>-15000000</v>
      </c>
      <c r="M100" s="126"/>
      <c r="N100" s="129">
        <f t="shared" si="26"/>
        <v>-74400000</v>
      </c>
      <c r="O100" s="127"/>
      <c r="S100" s="95" t="s">
        <v>87</v>
      </c>
      <c r="T100" s="95"/>
      <c r="U100" s="33">
        <f t="shared" ref="U100:AD100" si="32">-U70*$H$25</f>
        <v>-375000</v>
      </c>
      <c r="V100" s="33">
        <f t="shared" si="32"/>
        <v>-562500</v>
      </c>
      <c r="W100" s="33">
        <f t="shared" si="32"/>
        <v>-937500</v>
      </c>
      <c r="X100" s="33">
        <f t="shared" si="32"/>
        <v>-1500000</v>
      </c>
      <c r="Y100" s="33">
        <f t="shared" si="32"/>
        <v>-2250000</v>
      </c>
      <c r="Z100" s="33">
        <f t="shared" si="32"/>
        <v>-3000000</v>
      </c>
      <c r="AA100" s="33">
        <f t="shared" si="32"/>
        <v>-3750000</v>
      </c>
      <c r="AB100" s="33">
        <f t="shared" si="32"/>
        <v>-4875000</v>
      </c>
      <c r="AC100" s="33">
        <f t="shared" si="32"/>
        <v>-6000000</v>
      </c>
      <c r="AD100" s="33">
        <f t="shared" si="32"/>
        <v>-7500000</v>
      </c>
    </row>
    <row r="101" spans="2:32" ht="16.5" thickBot="1">
      <c r="B101" s="132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4"/>
      <c r="S101" s="96" t="s">
        <v>95</v>
      </c>
      <c r="T101" s="96"/>
      <c r="U101" s="97">
        <f>SUM(U98:U100)</f>
        <v>-1287500</v>
      </c>
      <c r="V101" s="97">
        <f t="shared" ref="V101:AD101" si="33">SUM(V98:V100)</f>
        <v>-1931250</v>
      </c>
      <c r="W101" s="97">
        <f t="shared" si="33"/>
        <v>-3218750</v>
      </c>
      <c r="X101" s="97">
        <f t="shared" si="33"/>
        <v>-5150000</v>
      </c>
      <c r="Y101" s="97">
        <f t="shared" si="33"/>
        <v>-7725000</v>
      </c>
      <c r="Z101" s="97">
        <f t="shared" si="33"/>
        <v>-10300000</v>
      </c>
      <c r="AA101" s="97">
        <f t="shared" si="33"/>
        <v>-12875000</v>
      </c>
      <c r="AB101" s="97">
        <f t="shared" si="33"/>
        <v>-16737500</v>
      </c>
      <c r="AC101" s="97">
        <f t="shared" si="33"/>
        <v>-20600000</v>
      </c>
      <c r="AD101" s="97">
        <f t="shared" si="33"/>
        <v>-25750000</v>
      </c>
      <c r="AE101" s="48"/>
      <c r="AF101" s="48"/>
    </row>
    <row r="103" spans="2:32">
      <c r="S103" s="3" t="s">
        <v>96</v>
      </c>
      <c r="T103" s="3"/>
    </row>
    <row r="104" spans="2:32">
      <c r="S104" s="95" t="s">
        <v>99</v>
      </c>
      <c r="T104" s="95"/>
      <c r="U104" s="36">
        <f>U85+U92+U98</f>
        <v>901552.14065226144</v>
      </c>
      <c r="V104" s="36">
        <f t="shared" ref="V104:AD104" si="34">V85+V92+V98</f>
        <v>1352328.210978392</v>
      </c>
      <c r="W104" s="36">
        <f t="shared" si="34"/>
        <v>2253880.3516306533</v>
      </c>
      <c r="X104" s="36">
        <f t="shared" si="34"/>
        <v>3606208.5626090458</v>
      </c>
      <c r="Y104" s="36">
        <f t="shared" si="34"/>
        <v>5409312.8439135682</v>
      </c>
      <c r="Z104" s="36">
        <f t="shared" si="34"/>
        <v>7212417.1252180915</v>
      </c>
      <c r="AA104" s="36">
        <f t="shared" si="34"/>
        <v>8875478.4592672139</v>
      </c>
      <c r="AB104" s="36">
        <f t="shared" si="34"/>
        <v>11538121.997047376</v>
      </c>
      <c r="AC104" s="36">
        <f t="shared" si="34"/>
        <v>14051386.391088445</v>
      </c>
      <c r="AD104" s="36">
        <f t="shared" si="34"/>
        <v>17564232.988860555</v>
      </c>
      <c r="AE104" s="36"/>
      <c r="AF104" s="36"/>
    </row>
    <row r="105" spans="2:32">
      <c r="S105" s="95" t="s">
        <v>88</v>
      </c>
      <c r="T105" s="95"/>
      <c r="U105" s="36">
        <f t="shared" ref="U105:AD105" si="35">U86+U93+U99</f>
        <v>38831.197154744325</v>
      </c>
      <c r="V105" s="36">
        <f t="shared" si="35"/>
        <v>58246.795732116501</v>
      </c>
      <c r="W105" s="36">
        <f t="shared" si="35"/>
        <v>97077.992886860826</v>
      </c>
      <c r="X105" s="36">
        <f t="shared" si="35"/>
        <v>155324.7886189773</v>
      </c>
      <c r="Y105" s="36">
        <f t="shared" si="35"/>
        <v>232987.18292846601</v>
      </c>
      <c r="Z105" s="36">
        <f t="shared" si="35"/>
        <v>310649.5772379546</v>
      </c>
      <c r="AA105" s="36">
        <f t="shared" si="35"/>
        <v>367717.42048047238</v>
      </c>
      <c r="AB105" s="36">
        <f t="shared" si="35"/>
        <v>478032.64662461402</v>
      </c>
      <c r="AC105" s="36">
        <f t="shared" si="35"/>
        <v>566380.35163065372</v>
      </c>
      <c r="AD105" s="36">
        <f t="shared" si="35"/>
        <v>707975.4395383168</v>
      </c>
      <c r="AE105" s="36"/>
      <c r="AF105" s="36"/>
    </row>
    <row r="106" spans="2:32">
      <c r="S106" s="95" t="s">
        <v>87</v>
      </c>
      <c r="T106" s="95"/>
      <c r="U106" s="36">
        <f t="shared" ref="U106:AD106" si="36">U87+U94+U100</f>
        <v>-199133.33780700577</v>
      </c>
      <c r="V106" s="36">
        <f t="shared" si="36"/>
        <v>-298700.00671050866</v>
      </c>
      <c r="W106" s="36">
        <f t="shared" si="36"/>
        <v>-497833.34451751446</v>
      </c>
      <c r="X106" s="36">
        <f t="shared" si="36"/>
        <v>-796533.35122802306</v>
      </c>
      <c r="Y106" s="36">
        <f t="shared" si="36"/>
        <v>-1194800.0268420347</v>
      </c>
      <c r="Z106" s="36">
        <f t="shared" si="36"/>
        <v>-1593066.7024560461</v>
      </c>
      <c r="AA106" s="36">
        <f t="shared" si="36"/>
        <v>-1995695.8797476848</v>
      </c>
      <c r="AB106" s="36">
        <f t="shared" si="36"/>
        <v>-2594404.6436719904</v>
      </c>
      <c r="AC106" s="36">
        <f t="shared" si="36"/>
        <v>-3197766.742719098</v>
      </c>
      <c r="AD106" s="36">
        <f t="shared" si="36"/>
        <v>-3997208.4283988727</v>
      </c>
      <c r="AE106" s="36"/>
      <c r="AF106" s="36"/>
    </row>
    <row r="107" spans="2:32">
      <c r="S107" s="95" t="s">
        <v>41</v>
      </c>
      <c r="T107" s="95"/>
      <c r="U107" s="36">
        <f>U88</f>
        <v>126249.99999999999</v>
      </c>
      <c r="V107" s="36">
        <f t="shared" ref="V107:AD107" si="37">V88</f>
        <v>189375</v>
      </c>
      <c r="W107" s="36">
        <f t="shared" si="37"/>
        <v>315625</v>
      </c>
      <c r="X107" s="36">
        <f t="shared" si="37"/>
        <v>504999.99999999994</v>
      </c>
      <c r="Y107" s="36">
        <f t="shared" si="37"/>
        <v>757500</v>
      </c>
      <c r="Z107" s="36">
        <f t="shared" si="37"/>
        <v>1009999.9999999999</v>
      </c>
      <c r="AA107" s="36">
        <f t="shared" si="37"/>
        <v>1262500</v>
      </c>
      <c r="AB107" s="36">
        <f t="shared" si="37"/>
        <v>1641249.9999999998</v>
      </c>
      <c r="AC107" s="36">
        <f t="shared" si="37"/>
        <v>2019999.9999999998</v>
      </c>
      <c r="AD107" s="36">
        <f t="shared" si="37"/>
        <v>2525000</v>
      </c>
      <c r="AE107" s="36"/>
      <c r="AF107" s="36"/>
    </row>
    <row r="108" spans="2:32">
      <c r="S108" s="95" t="s">
        <v>202</v>
      </c>
      <c r="T108" s="95"/>
      <c r="U108" s="36">
        <v>600000</v>
      </c>
      <c r="V108" s="36">
        <v>600000</v>
      </c>
      <c r="W108" s="36">
        <v>600000</v>
      </c>
      <c r="X108" s="36">
        <v>600000</v>
      </c>
      <c r="Y108" s="36">
        <v>600000</v>
      </c>
      <c r="Z108" s="36">
        <v>600000</v>
      </c>
      <c r="AA108" s="36">
        <v>600000</v>
      </c>
      <c r="AB108" s="36">
        <v>600000</v>
      </c>
      <c r="AC108" s="36">
        <v>600000</v>
      </c>
      <c r="AD108" s="36">
        <v>600000</v>
      </c>
      <c r="AE108" s="36"/>
      <c r="AF108" s="36"/>
    </row>
    <row r="109" spans="2:32">
      <c r="S109" s="96" t="s">
        <v>97</v>
      </c>
      <c r="T109" s="96"/>
      <c r="U109" s="97">
        <f>SUM(U104:U108)</f>
        <v>1467500</v>
      </c>
      <c r="V109" s="97">
        <f t="shared" ref="V109:AD109" si="38">SUM(V104:V108)</f>
        <v>1901250</v>
      </c>
      <c r="W109" s="97">
        <f t="shared" si="38"/>
        <v>2768749.9999999995</v>
      </c>
      <c r="X109" s="97">
        <f t="shared" si="38"/>
        <v>4070000</v>
      </c>
      <c r="Y109" s="97">
        <f t="shared" si="38"/>
        <v>5805000</v>
      </c>
      <c r="Z109" s="97">
        <f t="shared" si="38"/>
        <v>7540000</v>
      </c>
      <c r="AA109" s="97">
        <f t="shared" si="38"/>
        <v>9110000.0000000019</v>
      </c>
      <c r="AB109" s="97">
        <f t="shared" si="38"/>
        <v>11663000</v>
      </c>
      <c r="AC109" s="97">
        <f t="shared" si="38"/>
        <v>14040000</v>
      </c>
      <c r="AD109" s="97">
        <f t="shared" si="38"/>
        <v>17399999.999999996</v>
      </c>
      <c r="AE109" s="97"/>
      <c r="AF109" s="97"/>
    </row>
    <row r="111" spans="2:32">
      <c r="S111" s="3" t="s">
        <v>25</v>
      </c>
      <c r="T111" s="3"/>
    </row>
    <row r="112" spans="2:32">
      <c r="S112" s="95" t="s">
        <v>90</v>
      </c>
      <c r="T112" s="95"/>
      <c r="U112" s="33">
        <f t="shared" ref="U112:AD112" si="39">-U104*$D$35</f>
        <v>-676164.10548919602</v>
      </c>
      <c r="V112" s="33">
        <f t="shared" si="39"/>
        <v>-1014246.158233794</v>
      </c>
      <c r="W112" s="33">
        <f t="shared" si="39"/>
        <v>-1690410.2637229899</v>
      </c>
      <c r="X112" s="33">
        <f t="shared" si="39"/>
        <v>-2704656.4219567841</v>
      </c>
      <c r="Y112" s="33">
        <f t="shared" si="39"/>
        <v>-4056984.6329351761</v>
      </c>
      <c r="Z112" s="33">
        <f t="shared" si="39"/>
        <v>-5409312.8439135682</v>
      </c>
      <c r="AA112" s="33">
        <f t="shared" si="39"/>
        <v>-6656608.8444504105</v>
      </c>
      <c r="AB112" s="33">
        <f t="shared" si="39"/>
        <v>-8653591.497785531</v>
      </c>
      <c r="AC112" s="33">
        <f t="shared" si="39"/>
        <v>-10538539.793316334</v>
      </c>
      <c r="AD112" s="33">
        <f t="shared" si="39"/>
        <v>-13173174.741645416</v>
      </c>
    </row>
    <row r="113" spans="19:32">
      <c r="S113" s="95" t="s">
        <v>88</v>
      </c>
      <c r="T113" s="95"/>
      <c r="U113" s="33">
        <f t="shared" ref="U113:AD113" si="40">-U105*$F$35</f>
        <v>-11649.3591464233</v>
      </c>
      <c r="V113" s="33">
        <f t="shared" si="40"/>
        <v>-17474.038719634955</v>
      </c>
      <c r="W113" s="33">
        <f t="shared" si="40"/>
        <v>-29123.397866058251</v>
      </c>
      <c r="X113" s="33">
        <f t="shared" si="40"/>
        <v>-46597.436585693198</v>
      </c>
      <c r="Y113" s="33">
        <f t="shared" si="40"/>
        <v>-69896.154878539819</v>
      </c>
      <c r="Z113" s="33">
        <f t="shared" si="40"/>
        <v>-93194.873171386396</v>
      </c>
      <c r="AA113" s="33">
        <f t="shared" si="40"/>
        <v>-110315.22614414174</v>
      </c>
      <c r="AB113" s="33">
        <f t="shared" si="40"/>
        <v>-143409.79398738424</v>
      </c>
      <c r="AC113" s="33">
        <f t="shared" si="40"/>
        <v>-169914.10548919614</v>
      </c>
      <c r="AD113" s="33">
        <f t="shared" si="40"/>
        <v>-212392.63186149506</v>
      </c>
    </row>
    <row r="114" spans="19:32">
      <c r="S114" s="95" t="s">
        <v>87</v>
      </c>
      <c r="T114" s="95"/>
      <c r="U114" s="33">
        <f t="shared" ref="U114:AD114" si="41">-U70*$H$35</f>
        <v>-187500.00000000003</v>
      </c>
      <c r="V114" s="33">
        <f t="shared" si="41"/>
        <v>-281250.00000000006</v>
      </c>
      <c r="W114" s="33">
        <f t="shared" si="41"/>
        <v>-468750.00000000006</v>
      </c>
      <c r="X114" s="33">
        <f t="shared" si="41"/>
        <v>-750000.00000000012</v>
      </c>
      <c r="Y114" s="33">
        <f t="shared" si="41"/>
        <v>-1125000.0000000002</v>
      </c>
      <c r="Z114" s="33">
        <f t="shared" si="41"/>
        <v>-1500000.0000000002</v>
      </c>
      <c r="AA114" s="33">
        <f t="shared" si="41"/>
        <v>-1875000.0000000002</v>
      </c>
      <c r="AB114" s="33">
        <f t="shared" si="41"/>
        <v>-2437500.0000000005</v>
      </c>
      <c r="AC114" s="33">
        <f t="shared" si="41"/>
        <v>-3000000.0000000005</v>
      </c>
      <c r="AD114" s="33">
        <f t="shared" si="41"/>
        <v>-3750000.0000000005</v>
      </c>
    </row>
    <row r="115" spans="19:32">
      <c r="S115" s="95" t="s">
        <v>105</v>
      </c>
      <c r="U115" s="177">
        <f>'Model-2-High'!U115</f>
        <v>-60000000</v>
      </c>
      <c r="V115" s="47">
        <f>'Model-2-High'!V115</f>
        <v>-60000000</v>
      </c>
      <c r="W115" s="47">
        <f>'Model-2-High'!W115</f>
        <v>-60000000</v>
      </c>
      <c r="X115" s="47">
        <f>'Model-2-High'!X115</f>
        <v>-60000000</v>
      </c>
      <c r="Y115" s="47">
        <f>'Model-2-High'!Y115</f>
        <v>-60000000</v>
      </c>
      <c r="Z115" s="47">
        <f>'Model-2-High'!Z115</f>
        <v>-60000000</v>
      </c>
      <c r="AA115" s="47">
        <f>'Model-2-High'!AA115</f>
        <v>-60000000</v>
      </c>
      <c r="AB115" s="47">
        <f>'Model-2-High'!AB115</f>
        <v>-60000000</v>
      </c>
      <c r="AC115" s="47">
        <f>'Model-2-High'!AC115</f>
        <v>-60000000</v>
      </c>
      <c r="AD115" s="47">
        <f>'Model-2-High'!AD115</f>
        <v>-60000000</v>
      </c>
    </row>
    <row r="116" spans="19:32">
      <c r="S116" s="95" t="s">
        <v>41</v>
      </c>
      <c r="T116" s="95"/>
      <c r="U116" s="177">
        <f>'Model-2-High'!U116</f>
        <v>-15000000</v>
      </c>
      <c r="V116" s="47">
        <f>'Model-2-High'!V116</f>
        <v>-15000000</v>
      </c>
      <c r="W116" s="47">
        <f>'Model-2-High'!W116</f>
        <v>-15000000</v>
      </c>
      <c r="X116" s="47">
        <f>'Model-2-High'!X116</f>
        <v>-15000000</v>
      </c>
      <c r="Y116" s="47">
        <f>'Model-2-High'!Y116</f>
        <v>-15000000</v>
      </c>
      <c r="Z116" s="47">
        <f>'Model-2-High'!Z116</f>
        <v>-15000000</v>
      </c>
      <c r="AA116" s="47">
        <f>'Model-2-High'!AA116</f>
        <v>-15000000</v>
      </c>
      <c r="AB116" s="47">
        <f>'Model-2-High'!AB116</f>
        <v>-15000000</v>
      </c>
      <c r="AC116" s="47">
        <f>'Model-2-High'!AC116</f>
        <v>-15000000</v>
      </c>
      <c r="AD116" s="47">
        <f>'Model-2-High'!AD116</f>
        <v>-15000000</v>
      </c>
    </row>
    <row r="117" spans="19:32">
      <c r="S117" s="95" t="s">
        <v>98</v>
      </c>
      <c r="T117" s="176">
        <f>'Model-2-High'!T117</f>
        <v>-142500000</v>
      </c>
      <c r="U117" s="33">
        <v>0</v>
      </c>
      <c r="V117" s="33">
        <v>0</v>
      </c>
      <c r="W117" s="33">
        <v>0</v>
      </c>
      <c r="X117" s="33">
        <v>0</v>
      </c>
      <c r="Y117" s="33">
        <v>0</v>
      </c>
      <c r="Z117" s="33">
        <v>0</v>
      </c>
      <c r="AA117" s="33">
        <v>0</v>
      </c>
      <c r="AB117" s="33">
        <v>0</v>
      </c>
      <c r="AC117" s="33">
        <v>0</v>
      </c>
      <c r="AD117" s="33">
        <v>0</v>
      </c>
    </row>
    <row r="118" spans="19:32">
      <c r="S118" s="96" t="s">
        <v>100</v>
      </c>
      <c r="T118" s="98">
        <f t="shared" ref="T118:AD118" si="42">SUM(T112:T117)</f>
        <v>-142500000</v>
      </c>
      <c r="U118" s="98">
        <f t="shared" si="42"/>
        <v>-75875313.464635611</v>
      </c>
      <c r="V118" s="98">
        <f t="shared" si="42"/>
        <v>-76312970.196953431</v>
      </c>
      <c r="W118" s="98">
        <f t="shared" si="42"/>
        <v>-77188283.661589056</v>
      </c>
      <c r="X118" s="98">
        <f t="shared" si="42"/>
        <v>-78501253.858542472</v>
      </c>
      <c r="Y118" s="98">
        <f t="shared" si="42"/>
        <v>-80251880.787813723</v>
      </c>
      <c r="Z118" s="98">
        <f t="shared" si="42"/>
        <v>-82002507.717084944</v>
      </c>
      <c r="AA118" s="98">
        <f t="shared" si="42"/>
        <v>-83641924.070594549</v>
      </c>
      <c r="AB118" s="98">
        <f t="shared" si="42"/>
        <v>-86234501.291772917</v>
      </c>
      <c r="AC118" s="98">
        <f t="shared" si="42"/>
        <v>-88708453.898805529</v>
      </c>
      <c r="AD118" s="98">
        <f t="shared" si="42"/>
        <v>-92135567.373506904</v>
      </c>
      <c r="AE118" s="97"/>
      <c r="AF118" s="97"/>
    </row>
    <row r="120" spans="19:32">
      <c r="S120" s="99" t="s">
        <v>29</v>
      </c>
      <c r="T120" s="100">
        <f t="shared" ref="T120:AD120" si="43">T109+T118</f>
        <v>-142500000</v>
      </c>
      <c r="U120" s="100">
        <f>U109+U118</f>
        <v>-74407813.464635611</v>
      </c>
      <c r="V120" s="100">
        <f t="shared" si="43"/>
        <v>-74411720.196953431</v>
      </c>
      <c r="W120" s="100">
        <f t="shared" si="43"/>
        <v>-74419533.661589056</v>
      </c>
      <c r="X120" s="100">
        <f t="shared" si="43"/>
        <v>-74431253.858542472</v>
      </c>
      <c r="Y120" s="100">
        <f t="shared" si="43"/>
        <v>-74446880.787813723</v>
      </c>
      <c r="Z120" s="100">
        <f t="shared" si="43"/>
        <v>-74462507.717084944</v>
      </c>
      <c r="AA120" s="100">
        <f t="shared" si="43"/>
        <v>-74531924.070594549</v>
      </c>
      <c r="AB120" s="100">
        <f t="shared" si="43"/>
        <v>-74571501.291772917</v>
      </c>
      <c r="AC120" s="100">
        <f t="shared" si="43"/>
        <v>-74668453.898805529</v>
      </c>
      <c r="AD120" s="100">
        <f t="shared" si="43"/>
        <v>-74735567.373506904</v>
      </c>
      <c r="AF120" s="47">
        <f>SUM(T120:AD120)</f>
        <v>-887587156.32129908</v>
      </c>
    </row>
  </sheetData>
  <pageMargins left="0.25" right="0.25" top="0.75" bottom="0.75" header="0.3" footer="0.3"/>
  <pageSetup scale="51" orientation="landscape" horizontalDpi="4294967292" verticalDpi="4294967292" r:id="rId1"/>
  <rowBreaks count="1" manualBreakCount="1">
    <brk id="58" max="31" man="1"/>
  </rowBreaks>
  <colBreaks count="1" manualBreakCount="1">
    <brk id="16" max="111" man="1"/>
  </colBreaks>
  <ignoredErrors>
    <ignoredError sqref="P8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93F1F-8A1B-E748-B3DD-D7FED9EB9C07}">
  <sheetPr>
    <tabColor theme="8" tint="-0.499984740745262"/>
  </sheetPr>
  <dimension ref="A1:AG120"/>
  <sheetViews>
    <sheetView showGridLines="0" topLeftCell="A77" zoomScale="85" zoomScaleNormal="85" zoomScaleSheetLayoutView="82" zoomScalePageLayoutView="96" workbookViewId="0">
      <selection activeCell="D85" sqref="D85"/>
    </sheetView>
  </sheetViews>
  <sheetFormatPr defaultColWidth="10.625" defaultRowHeight="15.75" outlineLevelRow="1" outlineLevelCol="1"/>
  <cols>
    <col min="1" max="1" width="3.375" customWidth="1"/>
    <col min="2" max="2" width="36.5" customWidth="1"/>
    <col min="3" max="3" width="3.125" customWidth="1"/>
    <col min="4" max="4" width="14.625" customWidth="1"/>
    <col min="5" max="5" width="2.625" customWidth="1"/>
    <col min="6" max="6" width="14.625" customWidth="1"/>
    <col min="7" max="7" width="2.625" customWidth="1"/>
    <col min="8" max="8" width="12.875" customWidth="1"/>
    <col min="9" max="9" width="2.625" customWidth="1"/>
    <col min="10" max="10" width="12.875" hidden="1" customWidth="1" outlineLevel="1"/>
    <col min="11" max="11" width="2.625" hidden="1" customWidth="1" outlineLevel="1"/>
    <col min="12" max="12" width="15.375" customWidth="1" collapsed="1"/>
    <col min="13" max="13" width="2.375" customWidth="1"/>
    <col min="14" max="14" width="13.875" customWidth="1"/>
    <col min="15" max="15" width="2.875" customWidth="1"/>
    <col min="16" max="16" width="16.875" customWidth="1"/>
    <col min="17" max="18" width="2.875" customWidth="1"/>
    <col min="19" max="19" width="30.625" customWidth="1"/>
    <col min="20" max="20" width="16.5" customWidth="1"/>
    <col min="21" max="21" width="15.375" customWidth="1"/>
    <col min="22" max="22" width="14.625" customWidth="1"/>
    <col min="23" max="23" width="13.5" customWidth="1"/>
    <col min="24" max="24" width="13.875" customWidth="1"/>
    <col min="25" max="25" width="13.5" customWidth="1"/>
    <col min="26" max="26" width="14.875" customWidth="1"/>
    <col min="27" max="27" width="13.375" customWidth="1"/>
    <col min="28" max="29" width="13.625" customWidth="1"/>
    <col min="30" max="30" width="15.625" customWidth="1"/>
    <col min="31" max="31" width="4.5" customWidth="1"/>
    <col min="32" max="32" width="13.625" customWidth="1"/>
    <col min="33" max="33" width="2.625" customWidth="1"/>
    <col min="34" max="34" width="15" customWidth="1"/>
  </cols>
  <sheetData>
    <row r="1" spans="1:23" s="69" customFormat="1" ht="18.75">
      <c r="A1" s="278" t="s">
        <v>258</v>
      </c>
    </row>
    <row r="3" spans="1:23">
      <c r="B3" s="4" t="s">
        <v>213</v>
      </c>
      <c r="S3" s="4" t="s">
        <v>152</v>
      </c>
      <c r="T3" s="4"/>
    </row>
    <row r="4" spans="1:23" s="7" customFormat="1" ht="31.5">
      <c r="D4" s="11" t="s">
        <v>17</v>
      </c>
      <c r="F4" s="11" t="s">
        <v>59</v>
      </c>
      <c r="H4" s="11" t="s">
        <v>53</v>
      </c>
      <c r="J4" s="11"/>
      <c r="L4" s="11" t="s">
        <v>105</v>
      </c>
      <c r="N4" s="11" t="s">
        <v>104</v>
      </c>
      <c r="P4" s="12" t="s">
        <v>3</v>
      </c>
    </row>
    <row r="5" spans="1:23">
      <c r="P5" s="13"/>
      <c r="S5" t="s">
        <v>28</v>
      </c>
      <c r="T5" s="10">
        <f>P6</f>
        <v>1016729436.1661481</v>
      </c>
    </row>
    <row r="6" spans="1:23">
      <c r="B6" t="s">
        <v>28</v>
      </c>
      <c r="D6" s="10">
        <f>D11/(1-D8)</f>
        <v>862944162.43654823</v>
      </c>
      <c r="F6" s="10">
        <f>F11/(1-F8)</f>
        <v>126903553.29949239</v>
      </c>
      <c r="H6" s="10">
        <f>H11/(1-H8)</f>
        <v>26881720.43010753</v>
      </c>
      <c r="P6" s="16">
        <f>D6+J6+L6+N6+F6+H6</f>
        <v>1016729436.1661481</v>
      </c>
      <c r="S6" s="5" t="s">
        <v>68</v>
      </c>
      <c r="T6" s="82">
        <f>P7</f>
        <v>-16729436.166148135</v>
      </c>
      <c r="U6" s="21">
        <f>T6/T5</f>
        <v>-1.6454167225875723E-2</v>
      </c>
      <c r="V6" t="s">
        <v>71</v>
      </c>
    </row>
    <row r="7" spans="1:23">
      <c r="B7" t="s">
        <v>66</v>
      </c>
      <c r="D7" s="10">
        <f>-D6*D8</f>
        <v>-12944162.436548224</v>
      </c>
      <c r="F7" s="10">
        <f>-F6*F8</f>
        <v>-1903553.2994923857</v>
      </c>
      <c r="H7" s="10">
        <f>-H6*H8</f>
        <v>-1881720.4301075272</v>
      </c>
      <c r="P7" s="16">
        <f>D7+J7+L7+N7+F7+H7</f>
        <v>-16729436.166148135</v>
      </c>
      <c r="S7" s="10" t="s">
        <v>20</v>
      </c>
      <c r="T7" s="10">
        <f>T5+T6</f>
        <v>999999999.99999988</v>
      </c>
      <c r="U7" s="9"/>
    </row>
    <row r="8" spans="1:23">
      <c r="B8" t="s">
        <v>67</v>
      </c>
      <c r="D8" s="248">
        <f>1.5%</f>
        <v>1.4999999999999999E-2</v>
      </c>
      <c r="E8" s="245"/>
      <c r="F8" s="248">
        <f>1.5%</f>
        <v>1.4999999999999999E-2</v>
      </c>
      <c r="G8" s="245"/>
      <c r="H8" s="249">
        <v>7.0000000000000007E-2</v>
      </c>
      <c r="P8" s="239">
        <f>P7/P6</f>
        <v>-1.6454167225875723E-2</v>
      </c>
      <c r="U8" s="9"/>
    </row>
    <row r="9" spans="1:23">
      <c r="B9" s="191" t="s">
        <v>20</v>
      </c>
      <c r="C9" t="s">
        <v>4</v>
      </c>
      <c r="D9" s="33">
        <f>D6+D7</f>
        <v>850000000</v>
      </c>
      <c r="F9" s="33">
        <f>F6+F7</f>
        <v>125000000</v>
      </c>
      <c r="H9" s="33">
        <f>H6+H7</f>
        <v>25000000.000000004</v>
      </c>
      <c r="P9" s="14">
        <f>D9+J9+L9+N9+F9+H9</f>
        <v>1000000000</v>
      </c>
      <c r="S9" t="s">
        <v>70</v>
      </c>
      <c r="T9" s="10">
        <f>U9*T7</f>
        <v>100000000</v>
      </c>
      <c r="U9" s="9">
        <v>0.1</v>
      </c>
      <c r="V9" t="s">
        <v>72</v>
      </c>
      <c r="W9" t="s">
        <v>103</v>
      </c>
    </row>
    <row r="10" spans="1:23">
      <c r="D10" s="33"/>
      <c r="F10" s="33"/>
      <c r="H10" s="33"/>
      <c r="P10" s="13"/>
    </row>
    <row r="11" spans="1:23">
      <c r="B11" s="23" t="s">
        <v>20</v>
      </c>
      <c r="C11" s="23"/>
      <c r="D11" s="27">
        <v>850000000</v>
      </c>
      <c r="E11" s="27"/>
      <c r="F11" s="27">
        <v>125000000</v>
      </c>
      <c r="G11" s="27"/>
      <c r="H11" s="27">
        <v>25000000</v>
      </c>
      <c r="I11" s="27"/>
      <c r="J11" s="27"/>
      <c r="K11" s="27"/>
      <c r="L11" s="27"/>
      <c r="M11" s="23"/>
      <c r="N11" s="23"/>
      <c r="O11" s="23"/>
      <c r="P11" s="28">
        <f>D11+J11+L11+N11+F11+H11</f>
        <v>1000000000</v>
      </c>
      <c r="S11" s="79" t="s">
        <v>21</v>
      </c>
      <c r="T11" s="83">
        <f>T7+T9</f>
        <v>1100000000</v>
      </c>
    </row>
    <row r="12" spans="1:23">
      <c r="B12" s="23" t="s">
        <v>18</v>
      </c>
      <c r="C12" s="23"/>
      <c r="D12" s="27">
        <v>5000000</v>
      </c>
      <c r="E12" s="27"/>
      <c r="F12" s="27">
        <v>2000000</v>
      </c>
      <c r="G12" s="27"/>
      <c r="H12" s="27">
        <v>35000</v>
      </c>
      <c r="I12" s="27"/>
      <c r="J12" s="27"/>
      <c r="K12" s="27"/>
      <c r="L12" s="27"/>
      <c r="M12" s="23"/>
      <c r="N12" s="23"/>
      <c r="O12" s="23"/>
      <c r="P12" s="28"/>
    </row>
    <row r="13" spans="1:23">
      <c r="B13" s="23" t="s">
        <v>19</v>
      </c>
      <c r="C13" s="23"/>
      <c r="D13" s="29">
        <f>INT(D11/D12)</f>
        <v>170</v>
      </c>
      <c r="E13" s="27"/>
      <c r="F13" s="29">
        <f>INT(F11/F12)</f>
        <v>62</v>
      </c>
      <c r="G13" s="27"/>
      <c r="H13" s="29">
        <f>INT(H11/H12)</f>
        <v>714</v>
      </c>
      <c r="I13" s="27"/>
      <c r="J13" s="29"/>
      <c r="K13" s="27"/>
      <c r="L13" s="29"/>
      <c r="M13" s="23"/>
      <c r="N13" s="23"/>
      <c r="O13" s="23"/>
      <c r="P13" s="28"/>
      <c r="S13" t="s">
        <v>69</v>
      </c>
      <c r="T13" s="10">
        <f>T11-T14</f>
        <v>935000000</v>
      </c>
    </row>
    <row r="14" spans="1:23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04"/>
      <c r="S14" t="s">
        <v>6</v>
      </c>
      <c r="T14" s="10">
        <f>T11*U14</f>
        <v>165000000</v>
      </c>
      <c r="U14" s="8">
        <v>0.15</v>
      </c>
      <c r="V14" t="s">
        <v>73</v>
      </c>
    </row>
    <row r="15" spans="1:23">
      <c r="B15" s="23" t="s">
        <v>104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30">
        <f>T9</f>
        <v>100000000</v>
      </c>
      <c r="O15" s="23"/>
      <c r="P15" s="28">
        <f>D15+J15+L15+N15+F15+H15</f>
        <v>100000000</v>
      </c>
      <c r="S15" s="79" t="s">
        <v>22</v>
      </c>
      <c r="T15" s="83">
        <f>T13+T14</f>
        <v>1100000000</v>
      </c>
    </row>
    <row r="16" spans="1:23">
      <c r="B16" s="23" t="s">
        <v>113</v>
      </c>
      <c r="C16" s="23"/>
      <c r="D16" s="23"/>
      <c r="E16" s="23"/>
      <c r="F16" s="23"/>
      <c r="G16" s="23"/>
      <c r="H16" s="23"/>
      <c r="I16" s="23"/>
      <c r="J16" s="23"/>
      <c r="K16" s="23"/>
      <c r="L16" s="30">
        <v>10000000000</v>
      </c>
      <c r="M16" s="23"/>
      <c r="N16" s="23"/>
      <c r="O16" s="23"/>
      <c r="P16" s="28">
        <f>D16+J16+L16+N16+F16+H16</f>
        <v>10000000000</v>
      </c>
    </row>
    <row r="17" spans="2:22">
      <c r="P17" s="13"/>
      <c r="S17" t="s">
        <v>74</v>
      </c>
      <c r="T17" s="22">
        <f>T13/T5</f>
        <v>0.91961535364380631</v>
      </c>
      <c r="U17" s="19">
        <f>T13/T11</f>
        <v>0.85</v>
      </c>
      <c r="V17" t="s">
        <v>203</v>
      </c>
    </row>
    <row r="18" spans="2:22">
      <c r="B18" t="s">
        <v>10</v>
      </c>
      <c r="D18" s="283">
        <v>0.05</v>
      </c>
      <c r="E18" s="254"/>
      <c r="F18" s="283">
        <v>2.5000000000000001E-2</v>
      </c>
      <c r="G18" s="254"/>
      <c r="H18" s="283">
        <v>0.15</v>
      </c>
      <c r="I18" s="254"/>
      <c r="J18" s="254"/>
      <c r="K18" s="254"/>
      <c r="L18" s="254"/>
      <c r="M18" s="195"/>
      <c r="N18" s="254">
        <f>T21</f>
        <v>2.5249999999999998E-2</v>
      </c>
      <c r="P18" s="239">
        <f>P19/P$11</f>
        <v>5.1900000000000002E-2</v>
      </c>
    </row>
    <row r="19" spans="2:22">
      <c r="B19" t="s">
        <v>23</v>
      </c>
      <c r="D19" s="213">
        <f>D$11*D18</f>
        <v>42500000</v>
      </c>
      <c r="E19" s="213"/>
      <c r="F19" s="213">
        <f>F$11*F18</f>
        <v>3125000</v>
      </c>
      <c r="G19" s="213"/>
      <c r="H19" s="213">
        <f>H$11*H18</f>
        <v>3750000</v>
      </c>
      <c r="I19" s="213"/>
      <c r="J19" s="213"/>
      <c r="K19" s="213"/>
      <c r="L19" s="213"/>
      <c r="M19" s="195"/>
      <c r="N19" s="255">
        <f>N18*N15</f>
        <v>2525000</v>
      </c>
      <c r="P19" s="14">
        <f>D19+J19+L19+N19+F19+H19</f>
        <v>51900000</v>
      </c>
      <c r="S19" s="4" t="s">
        <v>75</v>
      </c>
    </row>
    <row r="20" spans="2:22"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P20" s="13"/>
      <c r="S20" t="s">
        <v>76</v>
      </c>
      <c r="T20" s="85">
        <v>0.01</v>
      </c>
      <c r="V20" t="s">
        <v>84</v>
      </c>
    </row>
    <row r="21" spans="2:22">
      <c r="B21" t="s">
        <v>11</v>
      </c>
      <c r="D21" s="254">
        <f>T20</f>
        <v>0.01</v>
      </c>
      <c r="E21" s="195"/>
      <c r="F21" s="254">
        <f>D21</f>
        <v>0.01</v>
      </c>
      <c r="G21" s="195"/>
      <c r="H21" s="254">
        <f>D21</f>
        <v>0.01</v>
      </c>
      <c r="I21" s="195"/>
      <c r="J21" s="254"/>
      <c r="K21" s="195"/>
      <c r="L21" s="254"/>
      <c r="M21" s="195"/>
      <c r="N21" s="195"/>
      <c r="P21" s="239">
        <f>-P23/P$11</f>
        <v>9.3500000000000024E-3</v>
      </c>
      <c r="S21" t="s">
        <v>77</v>
      </c>
      <c r="T21" s="85">
        <f>0.75*2%+0.25*4.1%</f>
        <v>2.5249999999999998E-2</v>
      </c>
      <c r="V21" t="s">
        <v>85</v>
      </c>
    </row>
    <row r="22" spans="2:22">
      <c r="B22" t="s">
        <v>74</v>
      </c>
      <c r="D22" s="254">
        <f>T17</f>
        <v>0.91961535364380631</v>
      </c>
      <c r="E22" s="195"/>
      <c r="F22" s="254">
        <f>D22</f>
        <v>0.91961535364380631</v>
      </c>
      <c r="G22" s="195"/>
      <c r="H22" s="254">
        <f>D22</f>
        <v>0.91961535364380631</v>
      </c>
      <c r="I22" s="195"/>
      <c r="J22" s="254"/>
      <c r="K22" s="195"/>
      <c r="L22" s="254"/>
      <c r="M22" s="195"/>
      <c r="N22" s="195"/>
      <c r="P22" s="20"/>
    </row>
    <row r="23" spans="2:22">
      <c r="B23" t="s">
        <v>12</v>
      </c>
      <c r="D23" s="255">
        <f>-D6*D21*D22</f>
        <v>-7935767.0111394459</v>
      </c>
      <c r="E23" s="213"/>
      <c r="F23" s="255">
        <f>-F6*F21*F22</f>
        <v>-1167024.5604616832</v>
      </c>
      <c r="G23" s="213"/>
      <c r="H23" s="255">
        <f>-H6*H21*H22</f>
        <v>-247208.4283988727</v>
      </c>
      <c r="I23" s="213"/>
      <c r="J23" s="255"/>
      <c r="K23" s="213"/>
      <c r="L23" s="255"/>
      <c r="M23" s="195"/>
      <c r="N23" s="195"/>
      <c r="P23" s="16">
        <f>D23+J23+L23+N23+F23+H23</f>
        <v>-9350000.0000000019</v>
      </c>
      <c r="V23" t="s">
        <v>114</v>
      </c>
    </row>
    <row r="24" spans="2:22">
      <c r="D24" s="195"/>
      <c r="E24" s="195"/>
      <c r="F24" s="195"/>
      <c r="G24" s="195"/>
      <c r="H24" s="195"/>
      <c r="I24" s="195"/>
      <c r="J24" s="255"/>
      <c r="K24" s="195"/>
      <c r="L24" s="195"/>
      <c r="M24" s="195"/>
      <c r="N24" s="195"/>
      <c r="P24" s="15"/>
      <c r="S24" t="s">
        <v>78</v>
      </c>
    </row>
    <row r="25" spans="2:22">
      <c r="B25" t="s">
        <v>13</v>
      </c>
      <c r="D25" s="287">
        <f>'Model-3-Low'!D25*2</f>
        <v>0.02</v>
      </c>
      <c r="E25" s="254"/>
      <c r="F25" s="287">
        <f>'Model-3-Low'!F25*2</f>
        <v>0.01</v>
      </c>
      <c r="G25" s="254"/>
      <c r="H25" s="287">
        <f>'Model-3-Low'!H25*2</f>
        <v>0.3</v>
      </c>
      <c r="I25" s="254"/>
      <c r="J25" s="255"/>
      <c r="K25" s="254"/>
      <c r="L25" s="254"/>
      <c r="M25" s="195"/>
      <c r="N25" s="195"/>
      <c r="P25" s="239">
        <f>-P26/P$11</f>
        <v>2.5749999999999999E-2</v>
      </c>
      <c r="S25" t="s">
        <v>79</v>
      </c>
      <c r="T25" s="226" t="s">
        <v>64</v>
      </c>
    </row>
    <row r="26" spans="2:22">
      <c r="B26" t="s">
        <v>15</v>
      </c>
      <c r="D26" s="255">
        <f>-D$11*D25</f>
        <v>-17000000</v>
      </c>
      <c r="E26" s="213"/>
      <c r="F26" s="255">
        <f>-F$11*F25</f>
        <v>-1250000</v>
      </c>
      <c r="G26" s="213"/>
      <c r="H26" s="255">
        <f>-H$11*H25</f>
        <v>-7500000</v>
      </c>
      <c r="I26" s="213"/>
      <c r="J26" s="255"/>
      <c r="K26" s="213"/>
      <c r="L26" s="255"/>
      <c r="M26" s="195"/>
      <c r="N26" s="195"/>
      <c r="P26" s="16">
        <f>D26+J26+L26+N26+F26+H26</f>
        <v>-25750000</v>
      </c>
      <c r="S26" t="s">
        <v>81</v>
      </c>
      <c r="T26" t="s">
        <v>80</v>
      </c>
    </row>
    <row r="27" spans="2:22">
      <c r="D27" s="195"/>
      <c r="E27" s="195"/>
      <c r="F27" s="195"/>
      <c r="G27" s="195"/>
      <c r="H27" s="195"/>
      <c r="I27" s="195"/>
      <c r="J27" s="255"/>
      <c r="K27" s="195"/>
      <c r="L27" s="195"/>
      <c r="M27" s="195"/>
      <c r="N27" s="195"/>
      <c r="P27" s="13"/>
      <c r="S27" t="s">
        <v>82</v>
      </c>
      <c r="T27" t="s">
        <v>80</v>
      </c>
    </row>
    <row r="28" spans="2:22">
      <c r="B28" t="s">
        <v>14</v>
      </c>
      <c r="D28" s="254">
        <f>D18-D21-D25</f>
        <v>0.02</v>
      </c>
      <c r="E28" s="195"/>
      <c r="F28" s="254">
        <f>F18-F21-F25</f>
        <v>5.000000000000001E-3</v>
      </c>
      <c r="G28" s="195"/>
      <c r="H28" s="254">
        <f>H18-H21-H25</f>
        <v>-0.16</v>
      </c>
      <c r="I28" s="195"/>
      <c r="J28" s="255"/>
      <c r="K28" s="195"/>
      <c r="L28" s="254"/>
      <c r="M28" s="195"/>
      <c r="N28" s="195"/>
      <c r="P28" s="239">
        <f>P29/P$11</f>
        <v>1.6799999999999999E-2</v>
      </c>
      <c r="S28" t="s">
        <v>83</v>
      </c>
      <c r="T28" s="226" t="s">
        <v>65</v>
      </c>
    </row>
    <row r="29" spans="2:22">
      <c r="B29" s="24"/>
      <c r="C29" s="24"/>
      <c r="D29" s="197">
        <f>D19+D23+D26</f>
        <v>17564232.988860555</v>
      </c>
      <c r="E29" s="198"/>
      <c r="F29" s="197">
        <f>F19+F23+F26</f>
        <v>707975.4395383168</v>
      </c>
      <c r="G29" s="198"/>
      <c r="H29" s="220">
        <f>H19+H23+H26</f>
        <v>-3997208.4283988727</v>
      </c>
      <c r="I29" s="198"/>
      <c r="J29" s="199"/>
      <c r="K29" s="198"/>
      <c r="L29" s="197">
        <f>L19+L23+L26</f>
        <v>0</v>
      </c>
      <c r="M29" s="198"/>
      <c r="N29" s="220">
        <f>N19+N23+N26</f>
        <v>2525000</v>
      </c>
      <c r="O29" s="198"/>
      <c r="P29" s="200">
        <f>P19+P23+P26</f>
        <v>16800000</v>
      </c>
    </row>
    <row r="30" spans="2:22" s="69" customFormat="1">
      <c r="B30" s="68"/>
      <c r="C30" s="68"/>
      <c r="D30" s="192"/>
      <c r="E30" s="68"/>
      <c r="F30" s="192"/>
      <c r="G30" s="68"/>
      <c r="H30" s="193"/>
      <c r="I30" s="68"/>
      <c r="J30" s="193"/>
      <c r="K30" s="68"/>
      <c r="L30" s="192"/>
      <c r="M30" s="68"/>
      <c r="N30" s="193"/>
      <c r="O30" s="68"/>
      <c r="P30" s="194"/>
    </row>
    <row r="31" spans="2:22" s="215" customFormat="1">
      <c r="B31" s="215" t="s">
        <v>207</v>
      </c>
      <c r="D31" s="216">
        <v>0</v>
      </c>
      <c r="F31" s="216">
        <v>0</v>
      </c>
      <c r="H31" s="216">
        <v>0</v>
      </c>
      <c r="J31" s="217"/>
      <c r="L31" s="216">
        <v>600000</v>
      </c>
      <c r="N31" s="216">
        <v>0</v>
      </c>
      <c r="P31" s="16">
        <f>D31+J31+L31+N31+F31+H31</f>
        <v>600000</v>
      </c>
    </row>
    <row r="32" spans="2:22" s="69" customFormat="1">
      <c r="C32" s="68"/>
      <c r="D32" s="192"/>
      <c r="E32" s="68"/>
      <c r="F32" s="192"/>
      <c r="G32" s="68"/>
      <c r="H32" s="193"/>
      <c r="I32" s="68"/>
      <c r="J32" s="193"/>
      <c r="K32" s="68"/>
      <c r="L32" s="192"/>
      <c r="M32" s="68"/>
      <c r="N32" s="193"/>
      <c r="O32" s="68"/>
      <c r="P32" s="194"/>
    </row>
    <row r="33" spans="2:33" s="69" customFormat="1">
      <c r="B33" s="205" t="s">
        <v>208</v>
      </c>
      <c r="C33" s="205"/>
      <c r="D33" s="206">
        <f>D29+D31</f>
        <v>17564232.988860555</v>
      </c>
      <c r="E33" s="206"/>
      <c r="F33" s="206">
        <f t="shared" ref="F33:H33" si="0">F29+F31</f>
        <v>707975.4395383168</v>
      </c>
      <c r="G33" s="206"/>
      <c r="H33" s="206">
        <f t="shared" si="0"/>
        <v>-3997208.4283988727</v>
      </c>
      <c r="I33" s="205"/>
      <c r="J33" s="207"/>
      <c r="K33" s="205"/>
      <c r="L33" s="206">
        <f t="shared" ref="L33" si="1">L29+L31</f>
        <v>600000</v>
      </c>
      <c r="M33" s="205"/>
      <c r="N33" s="206">
        <f t="shared" ref="N33" si="2">N29+N31</f>
        <v>2525000</v>
      </c>
      <c r="O33" s="205"/>
      <c r="P33" s="209">
        <f>D33+J33+L33+N33+F33+H33</f>
        <v>17399999.999999996</v>
      </c>
    </row>
    <row r="34" spans="2:33">
      <c r="P34" s="13"/>
    </row>
    <row r="35" spans="2:33">
      <c r="B35" t="s">
        <v>56</v>
      </c>
      <c r="D35" s="297">
        <f>'Model-3-Low'!D35*1.5</f>
        <v>0.75</v>
      </c>
      <c r="E35" s="195"/>
      <c r="F35" s="258"/>
      <c r="G35" s="195"/>
      <c r="H35" s="297">
        <f>'Model-3-Low'!H35*1.5</f>
        <v>0.15000000000000002</v>
      </c>
      <c r="I35" s="195"/>
      <c r="J35" s="258"/>
      <c r="K35" s="195"/>
      <c r="L35" s="195"/>
      <c r="M35" s="195"/>
      <c r="N35" s="195"/>
      <c r="P35" s="225">
        <f>-P36/P29</f>
        <v>4.6025635341373157</v>
      </c>
    </row>
    <row r="36" spans="2:33">
      <c r="B36" t="s">
        <v>16</v>
      </c>
      <c r="D36" s="255">
        <f>-D35*D29</f>
        <v>-13173174.741645416</v>
      </c>
      <c r="E36" s="195"/>
      <c r="F36" s="288">
        <f>'Model-3-Low'!F36*1.5</f>
        <v>-399892.63186149509</v>
      </c>
      <c r="G36" s="195"/>
      <c r="H36" s="214">
        <f>-H35*H11</f>
        <v>-3750000.0000000005</v>
      </c>
      <c r="I36" s="195"/>
      <c r="J36" s="214"/>
      <c r="K36" s="195"/>
      <c r="L36" s="255">
        <f>'Model-3-Low'!L36*1.5</f>
        <v>-60000000</v>
      </c>
      <c r="M36" s="195"/>
      <c r="N36" s="195"/>
      <c r="P36" s="16">
        <f>D36+J36+L36+N36+F36+H36</f>
        <v>-77323067.373506904</v>
      </c>
    </row>
    <row r="37" spans="2:33" hidden="1" outlineLevel="1">
      <c r="D37" s="255"/>
      <c r="E37" s="195"/>
      <c r="F37" s="255"/>
      <c r="G37" s="195"/>
      <c r="H37" s="214"/>
      <c r="I37" s="195"/>
      <c r="J37" s="214"/>
      <c r="K37" s="195"/>
      <c r="L37" s="255"/>
      <c r="M37" s="195"/>
      <c r="N37" s="195"/>
      <c r="P37" s="15"/>
    </row>
    <row r="38" spans="2:33" hidden="1" outlineLevel="1">
      <c r="B38" s="23" t="s">
        <v>30</v>
      </c>
      <c r="C38" s="23"/>
      <c r="D38" s="255">
        <f>D33+D36</f>
        <v>4391058.2472151387</v>
      </c>
      <c r="E38" s="255"/>
      <c r="F38" s="255">
        <f>F33+F36</f>
        <v>308082.80767682171</v>
      </c>
      <c r="G38" s="255"/>
      <c r="H38" s="255">
        <f>H33+H36</f>
        <v>-7747208.4283988737</v>
      </c>
      <c r="I38" s="195"/>
      <c r="J38" s="214"/>
      <c r="K38" s="195"/>
      <c r="L38" s="255">
        <f>L33+L36</f>
        <v>-59400000</v>
      </c>
      <c r="M38" s="195"/>
      <c r="N38" s="255">
        <f t="shared" ref="N38" si="3">N33+N36</f>
        <v>2525000</v>
      </c>
      <c r="O38" s="23"/>
      <c r="P38" s="31">
        <f>P33+P36</f>
        <v>-59923067.373506904</v>
      </c>
    </row>
    <row r="39" spans="2:33" collapsed="1">
      <c r="D39" s="195" t="s">
        <v>4</v>
      </c>
      <c r="E39" s="195"/>
      <c r="F39" s="195"/>
      <c r="G39" s="195"/>
      <c r="H39" s="214"/>
      <c r="I39" s="195"/>
      <c r="J39" s="214"/>
      <c r="K39" s="195"/>
      <c r="L39" s="195"/>
      <c r="M39" s="195"/>
      <c r="N39" s="195"/>
      <c r="P39" s="13"/>
    </row>
    <row r="40" spans="2:33">
      <c r="B40" t="s">
        <v>40</v>
      </c>
      <c r="D40" s="195"/>
      <c r="E40" s="195"/>
      <c r="F40" s="195"/>
      <c r="G40" s="195"/>
      <c r="H40" s="214"/>
      <c r="I40" s="195"/>
      <c r="J40" s="214"/>
      <c r="K40" s="195"/>
      <c r="L40" s="195"/>
      <c r="M40" s="195"/>
      <c r="N40" s="255">
        <f>'Model-3-Low'!N40*1.5</f>
        <v>-15000000</v>
      </c>
      <c r="P40" s="16">
        <f>D40+J40+L40+N40+F40+H40</f>
        <v>-15000000</v>
      </c>
    </row>
    <row r="41" spans="2:33">
      <c r="H41" s="47"/>
      <c r="J41" s="47"/>
      <c r="N41" s="240"/>
      <c r="P41" s="16"/>
    </row>
    <row r="42" spans="2:33">
      <c r="B42" s="205" t="s">
        <v>217</v>
      </c>
      <c r="C42" s="201"/>
      <c r="D42" s="202">
        <f>D36+D40</f>
        <v>-13173174.741645416</v>
      </c>
      <c r="E42" s="201"/>
      <c r="F42" s="202">
        <f>F36+F40</f>
        <v>-399892.63186149509</v>
      </c>
      <c r="G42" s="201"/>
      <c r="H42" s="202">
        <f>H36+H40</f>
        <v>-3750000.0000000005</v>
      </c>
      <c r="I42" s="201"/>
      <c r="J42" s="203"/>
      <c r="K42" s="201"/>
      <c r="L42" s="202">
        <f>L36+L40</f>
        <v>-60000000</v>
      </c>
      <c r="M42" s="201"/>
      <c r="N42" s="202">
        <f>N36+N40</f>
        <v>-15000000</v>
      </c>
      <c r="O42" s="201"/>
      <c r="P42" s="241">
        <f>D42+J42+L42+N42+F42+H42</f>
        <v>-92323067.373506904</v>
      </c>
    </row>
    <row r="43" spans="2:33">
      <c r="H43" s="47"/>
      <c r="J43" s="47"/>
      <c r="N43" s="240"/>
      <c r="P43" s="16"/>
    </row>
    <row r="44" spans="2:33">
      <c r="H44" s="47"/>
      <c r="J44" s="47"/>
      <c r="P44" s="13"/>
    </row>
    <row r="45" spans="2:33" s="17" customFormat="1" ht="16.5" thickBot="1">
      <c r="B45" s="210" t="s">
        <v>216</v>
      </c>
      <c r="C45" s="210"/>
      <c r="D45" s="211">
        <f>D33+D42</f>
        <v>4391058.2472151387</v>
      </c>
      <c r="E45" s="211"/>
      <c r="F45" s="211">
        <f>F33+F42</f>
        <v>308082.80767682171</v>
      </c>
      <c r="G45" s="211"/>
      <c r="H45" s="211">
        <f>H33+H42</f>
        <v>-7747208.4283988737</v>
      </c>
      <c r="I45" s="211"/>
      <c r="J45" s="211"/>
      <c r="K45" s="211"/>
      <c r="L45" s="211">
        <f>L33+L42</f>
        <v>-59400000</v>
      </c>
      <c r="M45" s="211"/>
      <c r="N45" s="211">
        <f>N33+N42</f>
        <v>-12475000</v>
      </c>
      <c r="O45" s="211"/>
      <c r="P45" s="212">
        <f>P33+P42</f>
        <v>-74923067.373506904</v>
      </c>
      <c r="AG45"/>
    </row>
    <row r="46" spans="2:33" ht="16.5" thickTop="1">
      <c r="P46" s="3"/>
    </row>
    <row r="47" spans="2:33">
      <c r="B47" s="25" t="s">
        <v>218</v>
      </c>
      <c r="P47" s="3"/>
      <c r="Q47" s="25"/>
      <c r="R47" s="25"/>
      <c r="S47" s="25"/>
      <c r="T47" s="25"/>
      <c r="U47" s="78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</row>
    <row r="48" spans="2:33">
      <c r="B48" s="226" t="s">
        <v>219</v>
      </c>
      <c r="C48" s="17"/>
      <c r="D48" s="18"/>
      <c r="E48" s="17"/>
      <c r="F48" s="18"/>
      <c r="G48" s="17"/>
      <c r="H48" s="18"/>
      <c r="I48" s="17"/>
      <c r="J48" s="18"/>
      <c r="K48" s="17"/>
      <c r="L48" s="18"/>
      <c r="M48" s="17"/>
      <c r="N48" s="18"/>
      <c r="O48" s="17"/>
      <c r="P48" s="18"/>
      <c r="Q48" s="25"/>
      <c r="R48" s="55"/>
      <c r="S48" s="25"/>
      <c r="T48" s="25"/>
      <c r="U48" s="25"/>
      <c r="V48" s="25"/>
      <c r="W48" s="25"/>
      <c r="X48" s="25"/>
      <c r="Y48" s="25"/>
      <c r="Z48" s="25"/>
      <c r="AA48" s="25"/>
      <c r="AB48" s="71"/>
      <c r="AC48" s="25"/>
      <c r="AD48" s="25"/>
      <c r="AE48" s="25"/>
      <c r="AF48" s="25"/>
      <c r="AG48" s="25"/>
    </row>
    <row r="49" spans="2:33">
      <c r="B49" s="290" t="s">
        <v>138</v>
      </c>
      <c r="C49" s="290"/>
      <c r="D49" s="291">
        <f>SUM(D36:J36)/P11</f>
        <v>-1.732306737350691E-2</v>
      </c>
      <c r="E49" s="290"/>
      <c r="F49" s="298"/>
      <c r="G49" s="25"/>
      <c r="H49" s="64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</row>
    <row r="50" spans="2:33">
      <c r="B50" s="46"/>
      <c r="C50" s="46"/>
      <c r="D50" s="46"/>
      <c r="E50" s="46"/>
      <c r="F50" s="46"/>
      <c r="P50" s="22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63"/>
      <c r="AB50" s="25"/>
      <c r="AC50" s="25"/>
      <c r="AD50" s="25"/>
      <c r="AE50" s="25"/>
      <c r="AF50" s="25"/>
      <c r="AG50" s="25"/>
    </row>
    <row r="51" spans="2:33">
      <c r="B51" s="290"/>
      <c r="C51" s="290"/>
      <c r="D51" s="292"/>
      <c r="E51" s="290"/>
      <c r="F51" s="292"/>
      <c r="G51" s="25"/>
      <c r="H51" s="25"/>
      <c r="I51" s="25"/>
      <c r="J51" s="25"/>
      <c r="K51" s="25"/>
      <c r="L51" s="25"/>
      <c r="M51" s="25"/>
      <c r="N51" s="25"/>
      <c r="O51" s="25"/>
      <c r="P51" s="57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</row>
    <row r="52" spans="2:33">
      <c r="B52" s="290" t="s">
        <v>220</v>
      </c>
      <c r="C52" s="290"/>
      <c r="D52" s="290"/>
      <c r="E52" s="290"/>
      <c r="F52" s="290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57"/>
      <c r="V52" s="25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25"/>
    </row>
    <row r="53" spans="2:33">
      <c r="B53" s="299"/>
      <c r="C53" s="290"/>
      <c r="D53" s="291"/>
      <c r="E53" s="290"/>
      <c r="F53" s="290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57"/>
      <c r="V53" s="25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25"/>
    </row>
    <row r="54" spans="2:33">
      <c r="B54" s="290"/>
      <c r="C54" s="290"/>
      <c r="D54" s="290"/>
      <c r="E54" s="290"/>
      <c r="F54" s="290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57"/>
      <c r="V54" s="25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25"/>
    </row>
    <row r="55" spans="2:33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57"/>
      <c r="V55" s="25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25"/>
    </row>
    <row r="56" spans="2:33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57"/>
      <c r="V56" s="25" t="s">
        <v>4</v>
      </c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25"/>
    </row>
    <row r="57" spans="2:33">
      <c r="B57" s="4" t="s">
        <v>4</v>
      </c>
      <c r="R57" s="25"/>
      <c r="S57" s="25"/>
      <c r="T57" s="25"/>
      <c r="U57" s="57"/>
      <c r="V57" s="25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25"/>
    </row>
    <row r="58" spans="2:33">
      <c r="H58" s="61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</row>
    <row r="59" spans="2:33">
      <c r="B59" s="238"/>
      <c r="C59" s="228"/>
      <c r="D59" s="228"/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228"/>
      <c r="P59" s="228"/>
      <c r="R59" s="7"/>
      <c r="S59" s="7" t="s">
        <v>4</v>
      </c>
      <c r="T59" s="7" t="s">
        <v>91</v>
      </c>
      <c r="U59" s="7" t="s">
        <v>43</v>
      </c>
      <c r="V59" s="7" t="s">
        <v>44</v>
      </c>
      <c r="W59" s="7" t="s">
        <v>45</v>
      </c>
      <c r="X59" s="7" t="s">
        <v>46</v>
      </c>
      <c r="Y59" s="7" t="s">
        <v>47</v>
      </c>
      <c r="Z59" s="7" t="s">
        <v>48</v>
      </c>
      <c r="AA59" s="7" t="s">
        <v>49</v>
      </c>
      <c r="AB59" s="7" t="s">
        <v>50</v>
      </c>
      <c r="AC59" s="7" t="s">
        <v>51</v>
      </c>
      <c r="AD59" s="7" t="s">
        <v>52</v>
      </c>
      <c r="AE59" s="7"/>
      <c r="AF59" s="7"/>
    </row>
    <row r="60" spans="2:33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R60" s="102" t="s">
        <v>1</v>
      </c>
      <c r="S60" s="103"/>
    </row>
    <row r="61" spans="2:33">
      <c r="B61" s="25"/>
      <c r="C61" s="25"/>
      <c r="D61" s="229"/>
      <c r="E61" s="229"/>
      <c r="F61" s="229"/>
      <c r="G61" s="229"/>
      <c r="H61" s="229"/>
      <c r="I61" s="229"/>
      <c r="J61" s="229"/>
      <c r="K61" s="229"/>
      <c r="L61" s="229"/>
      <c r="M61" s="25"/>
      <c r="N61" s="25"/>
      <c r="O61" s="25"/>
      <c r="P61" s="229"/>
      <c r="S61" s="17" t="s">
        <v>89</v>
      </c>
      <c r="T61" s="17"/>
    </row>
    <row r="62" spans="2:33">
      <c r="B62" s="25"/>
      <c r="C62" s="25"/>
      <c r="D62" s="229"/>
      <c r="E62" s="229"/>
      <c r="F62" s="229"/>
      <c r="G62" s="229"/>
      <c r="H62" s="229"/>
      <c r="I62" s="229"/>
      <c r="J62" s="229"/>
      <c r="K62" s="229"/>
      <c r="L62" s="229"/>
      <c r="M62" s="25"/>
      <c r="N62" s="25"/>
      <c r="O62" s="25"/>
      <c r="P62" s="229"/>
      <c r="S62" s="91" t="s">
        <v>90</v>
      </c>
      <c r="T62" s="91"/>
      <c r="U62" s="33">
        <f t="shared" ref="U62:AD62" si="4">U68/(1-$D$8)</f>
        <v>43147208.121827409</v>
      </c>
      <c r="V62" s="33">
        <f t="shared" si="4"/>
        <v>64720812.18274112</v>
      </c>
      <c r="W62" s="33">
        <f t="shared" si="4"/>
        <v>107868020.30456853</v>
      </c>
      <c r="X62" s="33">
        <f t="shared" si="4"/>
        <v>172588832.48730963</v>
      </c>
      <c r="Y62" s="33">
        <f t="shared" si="4"/>
        <v>258883248.73096448</v>
      </c>
      <c r="Z62" s="33">
        <f t="shared" si="4"/>
        <v>345177664.97461927</v>
      </c>
      <c r="AA62" s="33">
        <f t="shared" si="4"/>
        <v>431472081.21827412</v>
      </c>
      <c r="AB62" s="33">
        <f t="shared" si="4"/>
        <v>560913705.58375633</v>
      </c>
      <c r="AC62" s="33">
        <f t="shared" si="4"/>
        <v>690355329.94923854</v>
      </c>
      <c r="AD62" s="33">
        <f t="shared" si="4"/>
        <v>862944162.43654823</v>
      </c>
      <c r="AF62" s="47">
        <f>SUM(U62:AD62)</f>
        <v>3538071065.9898481</v>
      </c>
    </row>
    <row r="63" spans="2:33">
      <c r="B63" s="25"/>
      <c r="C63" s="25"/>
      <c r="D63" s="109"/>
      <c r="E63" s="229"/>
      <c r="F63" s="109"/>
      <c r="G63" s="229"/>
      <c r="H63" s="109"/>
      <c r="I63" s="229"/>
      <c r="J63" s="109"/>
      <c r="K63" s="229"/>
      <c r="L63" s="109"/>
      <c r="M63" s="25"/>
      <c r="N63" s="25"/>
      <c r="O63" s="25"/>
      <c r="P63" s="229"/>
      <c r="S63" s="91" t="s">
        <v>88</v>
      </c>
      <c r="T63" s="91"/>
      <c r="U63" s="33">
        <f t="shared" ref="U63:AD63" si="5">U69/(1-$F$8)</f>
        <v>6345177.6649746196</v>
      </c>
      <c r="V63" s="33">
        <f t="shared" si="5"/>
        <v>9517766.4974619299</v>
      </c>
      <c r="W63" s="33">
        <f t="shared" si="5"/>
        <v>15862944.162436549</v>
      </c>
      <c r="X63" s="33">
        <f t="shared" si="5"/>
        <v>25380710.659898479</v>
      </c>
      <c r="Y63" s="33">
        <f t="shared" si="5"/>
        <v>38071065.98984772</v>
      </c>
      <c r="Z63" s="33">
        <f t="shared" si="5"/>
        <v>50761421.319796957</v>
      </c>
      <c r="AA63" s="33">
        <f t="shared" si="5"/>
        <v>63451776.649746194</v>
      </c>
      <c r="AB63" s="33">
        <f t="shared" si="5"/>
        <v>82487309.644670054</v>
      </c>
      <c r="AC63" s="33">
        <f t="shared" si="5"/>
        <v>101522842.63959391</v>
      </c>
      <c r="AD63" s="33">
        <f t="shared" si="5"/>
        <v>126903553.29949239</v>
      </c>
      <c r="AF63" s="47">
        <f>SUM(U63:AD63)</f>
        <v>520304568.52791882</v>
      </c>
    </row>
    <row r="64" spans="2:33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91" t="s">
        <v>87</v>
      </c>
      <c r="T64" s="91"/>
      <c r="U64" s="33">
        <f t="shared" ref="U64:AD64" si="6">U70/(1-$H$8)</f>
        <v>1344086.0215053763</v>
      </c>
      <c r="V64" s="33">
        <f t="shared" si="6"/>
        <v>2016129.0322580647</v>
      </c>
      <c r="W64" s="33">
        <f t="shared" si="6"/>
        <v>3360215.0537634413</v>
      </c>
      <c r="X64" s="33">
        <f t="shared" si="6"/>
        <v>5376344.0860215053</v>
      </c>
      <c r="Y64" s="33">
        <f t="shared" si="6"/>
        <v>8064516.1290322589</v>
      </c>
      <c r="Z64" s="33">
        <f t="shared" si="6"/>
        <v>10752688.172043011</v>
      </c>
      <c r="AA64" s="33">
        <f t="shared" si="6"/>
        <v>13440860.215053765</v>
      </c>
      <c r="AB64" s="33">
        <f t="shared" si="6"/>
        <v>17473118.279569894</v>
      </c>
      <c r="AC64" s="33">
        <f t="shared" si="6"/>
        <v>21505376.344086021</v>
      </c>
      <c r="AD64" s="33">
        <f t="shared" si="6"/>
        <v>26881720.43010753</v>
      </c>
      <c r="AF64" s="47">
        <f>SUM(U64:AD64)</f>
        <v>110215053.76344088</v>
      </c>
    </row>
    <row r="65" spans="2:33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56"/>
      <c r="O65" s="25"/>
      <c r="P65" s="229"/>
      <c r="S65" s="53" t="s">
        <v>28</v>
      </c>
      <c r="T65" s="53"/>
      <c r="U65" s="86">
        <f t="shared" ref="U65:AD65" si="7">SUM(U62:U64)</f>
        <v>50836471.808307409</v>
      </c>
      <c r="V65" s="86">
        <f t="shared" si="7"/>
        <v>76254707.712461114</v>
      </c>
      <c r="W65" s="86">
        <f t="shared" si="7"/>
        <v>127091179.52076851</v>
      </c>
      <c r="X65" s="86">
        <f t="shared" si="7"/>
        <v>203345887.23322964</v>
      </c>
      <c r="Y65" s="86">
        <f t="shared" si="7"/>
        <v>305018830.84984446</v>
      </c>
      <c r="Z65" s="86">
        <f t="shared" si="7"/>
        <v>406691774.46645927</v>
      </c>
      <c r="AA65" s="86">
        <f t="shared" si="7"/>
        <v>508364718.08307403</v>
      </c>
      <c r="AB65" s="86">
        <f t="shared" si="7"/>
        <v>660874133.5079962</v>
      </c>
      <c r="AC65" s="86">
        <f t="shared" si="7"/>
        <v>813383548.93291855</v>
      </c>
      <c r="AD65" s="86">
        <f t="shared" si="7"/>
        <v>1016729436.1661481</v>
      </c>
      <c r="AE65" s="48"/>
      <c r="AF65" s="49">
        <f>SUM(U65:AD65)</f>
        <v>4168590688.2812076</v>
      </c>
    </row>
    <row r="66" spans="2:33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56"/>
      <c r="M66" s="25"/>
      <c r="N66" s="25"/>
      <c r="O66" s="25"/>
      <c r="P66" s="229"/>
    </row>
    <row r="67" spans="2:33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S67" s="17" t="s">
        <v>20</v>
      </c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</row>
    <row r="68" spans="2:33">
      <c r="B68" s="25"/>
      <c r="C68" s="25"/>
      <c r="D68" s="230"/>
      <c r="E68" s="230"/>
      <c r="F68" s="230"/>
      <c r="G68" s="230"/>
      <c r="H68" s="230"/>
      <c r="I68" s="230"/>
      <c r="J68" s="230"/>
      <c r="K68" s="230"/>
      <c r="L68" s="230"/>
      <c r="M68" s="25"/>
      <c r="N68" s="230"/>
      <c r="O68" s="25"/>
      <c r="P68" s="111"/>
      <c r="S68" s="91" t="s">
        <v>90</v>
      </c>
      <c r="T68" s="91"/>
      <c r="U68" s="50">
        <f t="shared" ref="U68:AD68" si="8">($D$11/$P$11)*U71</f>
        <v>42500000</v>
      </c>
      <c r="V68" s="50">
        <f t="shared" si="8"/>
        <v>63750000</v>
      </c>
      <c r="W68" s="50">
        <f t="shared" si="8"/>
        <v>106250000</v>
      </c>
      <c r="X68" s="50">
        <f t="shared" si="8"/>
        <v>170000000</v>
      </c>
      <c r="Y68" s="50">
        <f t="shared" si="8"/>
        <v>255000000</v>
      </c>
      <c r="Z68" s="50">
        <f t="shared" si="8"/>
        <v>340000000</v>
      </c>
      <c r="AA68" s="50">
        <f t="shared" si="8"/>
        <v>425000000</v>
      </c>
      <c r="AB68" s="50">
        <f t="shared" si="8"/>
        <v>552500000</v>
      </c>
      <c r="AC68" s="50">
        <f t="shared" si="8"/>
        <v>680000000</v>
      </c>
      <c r="AD68" s="50">
        <f t="shared" si="8"/>
        <v>850000000</v>
      </c>
      <c r="AF68" s="47">
        <f>SUM(U68:AD68)</f>
        <v>3485000000</v>
      </c>
    </row>
    <row r="69" spans="2:33">
      <c r="B69" s="25"/>
      <c r="C69" s="25"/>
      <c r="D69" s="229"/>
      <c r="E69" s="229"/>
      <c r="F69" s="229"/>
      <c r="G69" s="229"/>
      <c r="H69" s="229"/>
      <c r="I69" s="229"/>
      <c r="J69" s="229"/>
      <c r="K69" s="229"/>
      <c r="L69" s="229"/>
      <c r="M69" s="25"/>
      <c r="N69" s="56"/>
      <c r="O69" s="25"/>
      <c r="P69" s="229"/>
      <c r="S69" s="91" t="s">
        <v>88</v>
      </c>
      <c r="T69" s="91"/>
      <c r="U69" s="50">
        <f t="shared" ref="U69:AD69" si="9">U71-U68-U70</f>
        <v>6250000</v>
      </c>
      <c r="V69" s="50">
        <f t="shared" si="9"/>
        <v>9375000</v>
      </c>
      <c r="W69" s="50">
        <f t="shared" si="9"/>
        <v>15625000</v>
      </c>
      <c r="X69" s="50">
        <f t="shared" si="9"/>
        <v>25000000</v>
      </c>
      <c r="Y69" s="50">
        <f t="shared" si="9"/>
        <v>37500000</v>
      </c>
      <c r="Z69" s="50">
        <f t="shared" si="9"/>
        <v>50000000</v>
      </c>
      <c r="AA69" s="50">
        <f t="shared" si="9"/>
        <v>62500000</v>
      </c>
      <c r="AB69" s="50">
        <f t="shared" si="9"/>
        <v>81250000</v>
      </c>
      <c r="AC69" s="50">
        <f t="shared" si="9"/>
        <v>100000000</v>
      </c>
      <c r="AD69" s="50">
        <f t="shared" si="9"/>
        <v>125000000</v>
      </c>
      <c r="AF69" s="47">
        <f>SUM(U69:AD69)</f>
        <v>512500000</v>
      </c>
    </row>
    <row r="70" spans="2:33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S70" s="91" t="s">
        <v>87</v>
      </c>
      <c r="T70" s="91"/>
      <c r="U70" s="60">
        <f t="shared" ref="U70:AD70" si="10">($H$11/$P$11)*U71</f>
        <v>1250000</v>
      </c>
      <c r="V70" s="60">
        <f t="shared" si="10"/>
        <v>1875000</v>
      </c>
      <c r="W70" s="60">
        <f t="shared" si="10"/>
        <v>3125000</v>
      </c>
      <c r="X70" s="60">
        <f t="shared" si="10"/>
        <v>5000000</v>
      </c>
      <c r="Y70" s="60">
        <f t="shared" si="10"/>
        <v>7500000</v>
      </c>
      <c r="Z70" s="60">
        <f t="shared" si="10"/>
        <v>10000000</v>
      </c>
      <c r="AA70" s="60">
        <f t="shared" si="10"/>
        <v>12500000</v>
      </c>
      <c r="AB70" s="60">
        <f t="shared" si="10"/>
        <v>16250000</v>
      </c>
      <c r="AC70" s="60">
        <f t="shared" si="10"/>
        <v>20000000</v>
      </c>
      <c r="AD70" s="60">
        <f t="shared" si="10"/>
        <v>25000000</v>
      </c>
      <c r="AF70" s="47">
        <f>SUM(U70:AD70)</f>
        <v>102500000</v>
      </c>
    </row>
    <row r="71" spans="2:33">
      <c r="B71" s="25"/>
      <c r="C71" s="25"/>
      <c r="D71" s="230"/>
      <c r="E71" s="25"/>
      <c r="F71" s="230"/>
      <c r="G71" s="25"/>
      <c r="H71" s="230"/>
      <c r="I71" s="25"/>
      <c r="J71" s="230"/>
      <c r="K71" s="25"/>
      <c r="L71" s="230"/>
      <c r="M71" s="25"/>
      <c r="N71" s="25"/>
      <c r="O71" s="25"/>
      <c r="P71" s="111"/>
      <c r="S71" s="53" t="s">
        <v>86</v>
      </c>
      <c r="T71" s="53"/>
      <c r="U71" s="86">
        <v>50000000</v>
      </c>
      <c r="V71" s="86">
        <v>75000000</v>
      </c>
      <c r="W71" s="86">
        <v>125000000</v>
      </c>
      <c r="X71" s="86">
        <v>200000000</v>
      </c>
      <c r="Y71" s="86">
        <v>300000000</v>
      </c>
      <c r="Z71" s="86">
        <v>400000000</v>
      </c>
      <c r="AA71" s="86">
        <v>500000000</v>
      </c>
      <c r="AB71" s="86">
        <v>650000000</v>
      </c>
      <c r="AC71" s="86">
        <v>800000000</v>
      </c>
      <c r="AD71" s="86">
        <v>1000000000</v>
      </c>
      <c r="AE71" s="48"/>
      <c r="AF71" s="49">
        <f>SUM(U71:AD71)</f>
        <v>4100000000</v>
      </c>
    </row>
    <row r="72" spans="2:33">
      <c r="B72" s="25"/>
      <c r="C72" s="25"/>
      <c r="D72" s="56"/>
      <c r="E72" s="229"/>
      <c r="F72" s="56"/>
      <c r="G72" s="229"/>
      <c r="H72" s="56"/>
      <c r="I72" s="229"/>
      <c r="J72" s="56"/>
      <c r="K72" s="229"/>
      <c r="L72" s="56"/>
      <c r="M72" s="25"/>
      <c r="N72" s="25"/>
      <c r="O72" s="25"/>
      <c r="P72" s="56"/>
      <c r="S72" s="51"/>
      <c r="T72" s="51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3"/>
      <c r="AF72" s="87"/>
    </row>
    <row r="73" spans="2:33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57"/>
      <c r="S73" t="s">
        <v>70</v>
      </c>
      <c r="U73" s="92">
        <f t="shared" ref="U73:AD73" si="11">U71*$U$9</f>
        <v>5000000</v>
      </c>
      <c r="V73" s="92">
        <f t="shared" si="11"/>
        <v>7500000</v>
      </c>
      <c r="W73" s="92">
        <f t="shared" si="11"/>
        <v>12500000</v>
      </c>
      <c r="X73" s="92">
        <f t="shared" si="11"/>
        <v>20000000</v>
      </c>
      <c r="Y73" s="92">
        <f t="shared" si="11"/>
        <v>30000000</v>
      </c>
      <c r="Z73" s="92">
        <f t="shared" si="11"/>
        <v>40000000</v>
      </c>
      <c r="AA73" s="92">
        <f t="shared" si="11"/>
        <v>50000000</v>
      </c>
      <c r="AB73" s="92">
        <f t="shared" si="11"/>
        <v>65000000</v>
      </c>
      <c r="AC73" s="92">
        <f t="shared" si="11"/>
        <v>80000000</v>
      </c>
      <c r="AD73" s="92">
        <f t="shared" si="11"/>
        <v>100000000</v>
      </c>
      <c r="AE73" s="3"/>
      <c r="AF73" s="3"/>
      <c r="AG73" s="3"/>
    </row>
    <row r="74" spans="2:33">
      <c r="B74" s="25"/>
      <c r="C74" s="25"/>
      <c r="D74" s="230"/>
      <c r="E74" s="230"/>
      <c r="F74" s="230"/>
      <c r="G74" s="230"/>
      <c r="H74" s="230"/>
      <c r="I74" s="230"/>
      <c r="J74" s="230"/>
      <c r="K74" s="230"/>
      <c r="L74" s="230"/>
      <c r="M74" s="25"/>
      <c r="N74" s="25"/>
      <c r="O74" s="25"/>
      <c r="P74" s="111"/>
      <c r="S74" s="3"/>
      <c r="T74" s="3"/>
      <c r="U74" s="3"/>
      <c r="V74" s="3"/>
      <c r="W74" s="65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2:33" ht="16.5" thickBot="1">
      <c r="B75" s="25"/>
      <c r="C75" s="25"/>
      <c r="D75" s="56"/>
      <c r="E75" s="229"/>
      <c r="F75" s="56"/>
      <c r="G75" s="229"/>
      <c r="H75" s="56"/>
      <c r="I75" s="229"/>
      <c r="J75" s="56"/>
      <c r="K75" s="229"/>
      <c r="L75" s="56"/>
      <c r="M75" s="25"/>
      <c r="N75" s="25"/>
      <c r="O75" s="25"/>
      <c r="P75" s="56"/>
      <c r="S75" s="93" t="s">
        <v>21</v>
      </c>
      <c r="T75" s="93"/>
      <c r="U75" s="94">
        <f>U71+U73</f>
        <v>55000000</v>
      </c>
      <c r="V75" s="94">
        <f t="shared" ref="V75:AD75" si="12">V71+V73</f>
        <v>82500000</v>
      </c>
      <c r="W75" s="94">
        <f t="shared" si="12"/>
        <v>137500000</v>
      </c>
      <c r="X75" s="94">
        <f t="shared" si="12"/>
        <v>220000000</v>
      </c>
      <c r="Y75" s="94">
        <f t="shared" si="12"/>
        <v>330000000</v>
      </c>
      <c r="Z75" s="94">
        <f t="shared" si="12"/>
        <v>440000000</v>
      </c>
      <c r="AA75" s="94">
        <f t="shared" si="12"/>
        <v>550000000</v>
      </c>
      <c r="AB75" s="94">
        <f t="shared" si="12"/>
        <v>715000000</v>
      </c>
      <c r="AC75" s="94">
        <f t="shared" si="12"/>
        <v>880000000</v>
      </c>
      <c r="AD75" s="94">
        <f t="shared" si="12"/>
        <v>1100000000</v>
      </c>
      <c r="AE75" s="93"/>
      <c r="AF75" s="93"/>
      <c r="AG75" s="3"/>
    </row>
    <row r="76" spans="2:33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AG76" s="3"/>
    </row>
    <row r="77" spans="2:33">
      <c r="B77" s="25"/>
      <c r="C77" s="25"/>
      <c r="D77" s="230"/>
      <c r="E77" s="25"/>
      <c r="F77" s="230"/>
      <c r="G77" s="25"/>
      <c r="H77" s="230"/>
      <c r="I77" s="25"/>
      <c r="J77" s="230"/>
      <c r="K77" s="25"/>
      <c r="L77" s="230"/>
      <c r="M77" s="25"/>
      <c r="N77" s="25"/>
      <c r="O77" s="25"/>
      <c r="P77" s="111"/>
      <c r="S77" s="54" t="s">
        <v>6</v>
      </c>
      <c r="T77" s="3"/>
      <c r="U77" s="26">
        <v>0.2</v>
      </c>
      <c r="V77" s="26">
        <v>0.2</v>
      </c>
      <c r="W77" s="26">
        <v>0.2</v>
      </c>
      <c r="X77" s="26">
        <v>0.2</v>
      </c>
      <c r="Y77" s="26">
        <v>0.2</v>
      </c>
      <c r="Z77" s="26">
        <v>0.2</v>
      </c>
      <c r="AA77" s="26">
        <v>0.17</v>
      </c>
      <c r="AB77" s="26">
        <v>0.17</v>
      </c>
      <c r="AC77" s="26">
        <v>0.15</v>
      </c>
      <c r="AD77" s="26">
        <v>0.15</v>
      </c>
      <c r="AE77" s="3"/>
      <c r="AF77" s="87"/>
      <c r="AG77" s="3"/>
    </row>
    <row r="78" spans="2:33">
      <c r="B78" s="55"/>
      <c r="C78" s="55"/>
      <c r="D78" s="231"/>
      <c r="E78" s="55"/>
      <c r="F78" s="231"/>
      <c r="G78" s="55"/>
      <c r="H78" s="232"/>
      <c r="I78" s="55"/>
      <c r="J78" s="231"/>
      <c r="K78" s="55"/>
      <c r="L78" s="231"/>
      <c r="M78" s="55"/>
      <c r="N78" s="232"/>
      <c r="O78" s="55"/>
      <c r="P78" s="233"/>
      <c r="S78" s="89" t="s">
        <v>101</v>
      </c>
      <c r="T78" s="89"/>
      <c r="U78" s="87">
        <f>U75*U77</f>
        <v>11000000</v>
      </c>
      <c r="V78" s="87">
        <f t="shared" ref="V78:AD78" si="13">V75*V77</f>
        <v>16500000</v>
      </c>
      <c r="W78" s="87">
        <f t="shared" si="13"/>
        <v>27500000</v>
      </c>
      <c r="X78" s="87">
        <f t="shared" si="13"/>
        <v>44000000</v>
      </c>
      <c r="Y78" s="87">
        <f t="shared" si="13"/>
        <v>66000000</v>
      </c>
      <c r="Z78" s="87">
        <f t="shared" si="13"/>
        <v>88000000</v>
      </c>
      <c r="AA78" s="87">
        <f t="shared" si="13"/>
        <v>93500000</v>
      </c>
      <c r="AB78" s="87">
        <f t="shared" si="13"/>
        <v>121550000.00000001</v>
      </c>
      <c r="AC78" s="87">
        <f t="shared" si="13"/>
        <v>132000000</v>
      </c>
      <c r="AD78" s="87">
        <f t="shared" si="13"/>
        <v>165000000</v>
      </c>
      <c r="AE78" s="3"/>
      <c r="AF78" s="87"/>
      <c r="AG78" s="3"/>
    </row>
    <row r="79" spans="2:33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AG79" s="3"/>
    </row>
    <row r="80" spans="2:33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56"/>
      <c r="S80" t="s">
        <v>102</v>
      </c>
      <c r="U80" s="36">
        <f>U75-U78</f>
        <v>44000000</v>
      </c>
      <c r="V80" s="36">
        <f t="shared" ref="V80:AD80" si="14">V75-V78</f>
        <v>66000000</v>
      </c>
      <c r="W80" s="36">
        <f t="shared" si="14"/>
        <v>110000000</v>
      </c>
      <c r="X80" s="36">
        <f t="shared" si="14"/>
        <v>176000000</v>
      </c>
      <c r="Y80" s="36">
        <f t="shared" si="14"/>
        <v>264000000</v>
      </c>
      <c r="Z80" s="36">
        <f t="shared" si="14"/>
        <v>352000000</v>
      </c>
      <c r="AA80" s="36">
        <f t="shared" si="14"/>
        <v>456500000</v>
      </c>
      <c r="AB80" s="36">
        <f t="shared" si="14"/>
        <v>593450000</v>
      </c>
      <c r="AC80" s="36">
        <f t="shared" si="14"/>
        <v>748000000</v>
      </c>
      <c r="AD80" s="36">
        <f t="shared" si="14"/>
        <v>935000000</v>
      </c>
      <c r="AG80" s="3"/>
    </row>
    <row r="81" spans="2:33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S81" t="s">
        <v>74</v>
      </c>
      <c r="U81" s="19">
        <f>U80/U65</f>
        <v>0.86552033284122931</v>
      </c>
      <c r="V81" s="19">
        <f t="shared" ref="V81:AD81" si="15">V80/V65</f>
        <v>0.86552033284122931</v>
      </c>
      <c r="W81" s="19">
        <f t="shared" si="15"/>
        <v>0.86552033284122942</v>
      </c>
      <c r="X81" s="19">
        <f t="shared" si="15"/>
        <v>0.86552033284122931</v>
      </c>
      <c r="Y81" s="19">
        <f t="shared" si="15"/>
        <v>0.86552033284122931</v>
      </c>
      <c r="Z81" s="19">
        <f t="shared" si="15"/>
        <v>0.86552033284122931</v>
      </c>
      <c r="AA81" s="19">
        <f t="shared" si="15"/>
        <v>0.89797734532277551</v>
      </c>
      <c r="AB81" s="19">
        <f t="shared" si="15"/>
        <v>0.89797734532277562</v>
      </c>
      <c r="AC81" s="19">
        <f t="shared" si="15"/>
        <v>0.9196153536438062</v>
      </c>
      <c r="AD81" s="19">
        <f t="shared" si="15"/>
        <v>0.91961535364380631</v>
      </c>
      <c r="AG81" s="3"/>
    </row>
    <row r="82" spans="2:33"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233"/>
      <c r="AG82" s="3"/>
    </row>
    <row r="83" spans="2:33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R83" s="102" t="s">
        <v>0</v>
      </c>
      <c r="S83" s="103"/>
      <c r="AG83" s="3"/>
    </row>
    <row r="84" spans="2:33">
      <c r="B84" s="40"/>
      <c r="C84" s="40"/>
      <c r="D84" s="163"/>
      <c r="E84" s="40"/>
      <c r="F84" s="163"/>
      <c r="G84" s="40"/>
      <c r="H84" s="40"/>
      <c r="I84" s="40"/>
      <c r="J84" s="163"/>
      <c r="K84" s="40"/>
      <c r="L84" s="163"/>
      <c r="M84" s="40"/>
      <c r="N84" s="40"/>
      <c r="O84" s="40"/>
      <c r="P84" s="163"/>
      <c r="S84" s="3" t="s">
        <v>10</v>
      </c>
      <c r="T84" s="3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3"/>
      <c r="AF84" s="87"/>
      <c r="AG84" s="3"/>
    </row>
    <row r="85" spans="2:33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S85" s="95" t="s">
        <v>90</v>
      </c>
      <c r="T85" s="95"/>
      <c r="U85" s="65">
        <f t="shared" ref="U85:AD85" si="16">U68*$D$18</f>
        <v>2125000</v>
      </c>
      <c r="V85" s="65">
        <f t="shared" si="16"/>
        <v>3187500</v>
      </c>
      <c r="W85" s="65">
        <f t="shared" si="16"/>
        <v>5312500</v>
      </c>
      <c r="X85" s="65">
        <f t="shared" si="16"/>
        <v>8500000</v>
      </c>
      <c r="Y85" s="65">
        <f t="shared" si="16"/>
        <v>12750000</v>
      </c>
      <c r="Z85" s="65">
        <f t="shared" si="16"/>
        <v>17000000</v>
      </c>
      <c r="AA85" s="65">
        <f t="shared" si="16"/>
        <v>21250000</v>
      </c>
      <c r="AB85" s="65">
        <f t="shared" si="16"/>
        <v>27625000</v>
      </c>
      <c r="AC85" s="65">
        <f t="shared" si="16"/>
        <v>34000000</v>
      </c>
      <c r="AD85" s="65">
        <f t="shared" si="16"/>
        <v>42500000</v>
      </c>
      <c r="AE85" s="3"/>
      <c r="AF85" s="87"/>
      <c r="AG85" s="3"/>
    </row>
    <row r="86" spans="2:33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S86" s="95" t="s">
        <v>88</v>
      </c>
      <c r="T86" s="95"/>
      <c r="U86" s="65">
        <f t="shared" ref="U86:AD86" si="17">U69*$F$18</f>
        <v>156250</v>
      </c>
      <c r="V86" s="65">
        <f t="shared" si="17"/>
        <v>234375</v>
      </c>
      <c r="W86" s="65">
        <f t="shared" si="17"/>
        <v>390625</v>
      </c>
      <c r="X86" s="65">
        <f t="shared" si="17"/>
        <v>625000</v>
      </c>
      <c r="Y86" s="65">
        <f t="shared" si="17"/>
        <v>937500</v>
      </c>
      <c r="Z86" s="65">
        <f t="shared" si="17"/>
        <v>1250000</v>
      </c>
      <c r="AA86" s="65">
        <f t="shared" si="17"/>
        <v>1562500</v>
      </c>
      <c r="AB86" s="65">
        <f t="shared" si="17"/>
        <v>2031250</v>
      </c>
      <c r="AC86" s="65">
        <f t="shared" si="17"/>
        <v>2500000</v>
      </c>
      <c r="AD86" s="65">
        <f t="shared" si="17"/>
        <v>3125000</v>
      </c>
      <c r="AE86" s="3"/>
      <c r="AF86" s="87"/>
      <c r="AG86" s="3"/>
    </row>
    <row r="87" spans="2:33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S87" s="95" t="s">
        <v>87</v>
      </c>
      <c r="T87" s="95"/>
      <c r="U87" s="65">
        <f t="shared" ref="U87:AD87" si="18">U70*$H$18</f>
        <v>187500</v>
      </c>
      <c r="V87" s="65">
        <f t="shared" si="18"/>
        <v>281250</v>
      </c>
      <c r="W87" s="65">
        <f t="shared" si="18"/>
        <v>468750</v>
      </c>
      <c r="X87" s="65">
        <f t="shared" si="18"/>
        <v>750000</v>
      </c>
      <c r="Y87" s="65">
        <f t="shared" si="18"/>
        <v>1125000</v>
      </c>
      <c r="Z87" s="65">
        <f t="shared" si="18"/>
        <v>1500000</v>
      </c>
      <c r="AA87" s="65">
        <f t="shared" si="18"/>
        <v>1875000</v>
      </c>
      <c r="AB87" s="65">
        <f t="shared" si="18"/>
        <v>2437500</v>
      </c>
      <c r="AC87" s="65">
        <f t="shared" si="18"/>
        <v>3000000</v>
      </c>
      <c r="AD87" s="65">
        <f t="shared" si="18"/>
        <v>3750000</v>
      </c>
      <c r="AE87" s="3"/>
      <c r="AF87" s="87"/>
      <c r="AG87" s="3"/>
    </row>
    <row r="88" spans="2:33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S88" s="95" t="s">
        <v>41</v>
      </c>
      <c r="T88" s="95"/>
      <c r="U88" s="65">
        <f t="shared" ref="U88:AD88" si="19">U73*$T$21</f>
        <v>126249.99999999999</v>
      </c>
      <c r="V88" s="65">
        <f t="shared" si="19"/>
        <v>189375</v>
      </c>
      <c r="W88" s="65">
        <f t="shared" si="19"/>
        <v>315625</v>
      </c>
      <c r="X88" s="65">
        <f t="shared" si="19"/>
        <v>504999.99999999994</v>
      </c>
      <c r="Y88" s="65">
        <f t="shared" si="19"/>
        <v>757500</v>
      </c>
      <c r="Z88" s="65">
        <f t="shared" si="19"/>
        <v>1009999.9999999999</v>
      </c>
      <c r="AA88" s="65">
        <f t="shared" si="19"/>
        <v>1262500</v>
      </c>
      <c r="AB88" s="65">
        <f t="shared" si="19"/>
        <v>1641249.9999999998</v>
      </c>
      <c r="AC88" s="65">
        <f t="shared" si="19"/>
        <v>2019999.9999999998</v>
      </c>
      <c r="AD88" s="65">
        <f t="shared" si="19"/>
        <v>2525000</v>
      </c>
      <c r="AE88" s="3"/>
      <c r="AF88" s="3"/>
      <c r="AG88" s="3"/>
    </row>
    <row r="89" spans="2:33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R89" s="25"/>
      <c r="S89" s="96" t="s">
        <v>92</v>
      </c>
      <c r="T89" s="96"/>
      <c r="U89" s="97">
        <f t="shared" ref="U89:AD89" si="20">SUM(U85:U88)</f>
        <v>2595000</v>
      </c>
      <c r="V89" s="97">
        <f t="shared" si="20"/>
        <v>3892500</v>
      </c>
      <c r="W89" s="97">
        <f t="shared" si="20"/>
        <v>6487500</v>
      </c>
      <c r="X89" s="97">
        <f t="shared" si="20"/>
        <v>10380000</v>
      </c>
      <c r="Y89" s="97">
        <f t="shared" si="20"/>
        <v>15570000</v>
      </c>
      <c r="Z89" s="97">
        <f t="shared" si="20"/>
        <v>20760000</v>
      </c>
      <c r="AA89" s="97">
        <f t="shared" si="20"/>
        <v>25950000</v>
      </c>
      <c r="AB89" s="97">
        <f t="shared" si="20"/>
        <v>33735000</v>
      </c>
      <c r="AC89" s="97">
        <f t="shared" si="20"/>
        <v>41520000</v>
      </c>
      <c r="AD89" s="97">
        <f t="shared" si="20"/>
        <v>51900000</v>
      </c>
      <c r="AE89" s="48"/>
      <c r="AF89" s="48"/>
    </row>
    <row r="90" spans="2:33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R90" s="25"/>
      <c r="S90" s="3"/>
      <c r="T90" s="3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3"/>
      <c r="AF90" s="3"/>
    </row>
    <row r="91" spans="2:33">
      <c r="B91" s="5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S91" s="3" t="s">
        <v>93</v>
      </c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2:33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S92" s="95" t="s">
        <v>90</v>
      </c>
      <c r="T92" s="95"/>
      <c r="U92" s="87">
        <f t="shared" ref="U92:AD94" si="21">-U62*U$81*$T$20</f>
        <v>-373447.85934773856</v>
      </c>
      <c r="V92" s="87">
        <f t="shared" si="21"/>
        <v>-560171.78902160784</v>
      </c>
      <c r="W92" s="87">
        <f t="shared" si="21"/>
        <v>-933619.6483693464</v>
      </c>
      <c r="X92" s="87">
        <f t="shared" si="21"/>
        <v>-1493791.4373909542</v>
      </c>
      <c r="Y92" s="87">
        <f t="shared" si="21"/>
        <v>-2240687.1560864314</v>
      </c>
      <c r="Z92" s="87">
        <f t="shared" si="21"/>
        <v>-2987582.8747819085</v>
      </c>
      <c r="AA92" s="87">
        <f t="shared" si="21"/>
        <v>-3874521.5407327879</v>
      </c>
      <c r="AB92" s="87">
        <f t="shared" si="21"/>
        <v>-5036878.002952625</v>
      </c>
      <c r="AC92" s="87">
        <f t="shared" si="21"/>
        <v>-6348613.6089115553</v>
      </c>
      <c r="AD92" s="87">
        <f t="shared" si="21"/>
        <v>-7935767.011139445</v>
      </c>
      <c r="AE92" s="25"/>
      <c r="AF92" s="25"/>
    </row>
    <row r="93" spans="2:33">
      <c r="B93" s="281"/>
      <c r="C93" s="25"/>
      <c r="D93" s="25"/>
      <c r="E93" s="25"/>
      <c r="F93" s="281"/>
      <c r="G93" s="281"/>
      <c r="H93" s="281"/>
      <c r="I93" s="281"/>
      <c r="J93" s="281"/>
      <c r="K93" s="281"/>
      <c r="L93" s="281"/>
      <c r="M93" s="25"/>
      <c r="N93" s="25"/>
      <c r="O93" s="25"/>
      <c r="P93" s="25"/>
      <c r="S93" s="95" t="s">
        <v>88</v>
      </c>
      <c r="T93" s="95"/>
      <c r="U93" s="87">
        <f t="shared" si="21"/>
        <v>-54918.802845255668</v>
      </c>
      <c r="V93" s="87">
        <f t="shared" si="21"/>
        <v>-82378.204267883513</v>
      </c>
      <c r="W93" s="87">
        <f t="shared" si="21"/>
        <v>-137297.00711313917</v>
      </c>
      <c r="X93" s="87">
        <f t="shared" si="21"/>
        <v>-219675.21138102267</v>
      </c>
      <c r="Y93" s="87">
        <f t="shared" si="21"/>
        <v>-329512.81707153405</v>
      </c>
      <c r="Z93" s="87">
        <f t="shared" si="21"/>
        <v>-439350.42276204535</v>
      </c>
      <c r="AA93" s="87">
        <f t="shared" si="21"/>
        <v>-569782.57951952762</v>
      </c>
      <c r="AB93" s="87">
        <f t="shared" si="21"/>
        <v>-740717.35337538598</v>
      </c>
      <c r="AC93" s="87">
        <f t="shared" si="21"/>
        <v>-933619.6483693464</v>
      </c>
      <c r="AD93" s="87">
        <f t="shared" si="21"/>
        <v>-1167024.5604616832</v>
      </c>
      <c r="AE93" s="3"/>
      <c r="AF93" s="3"/>
    </row>
    <row r="94" spans="2:33">
      <c r="B94" s="282"/>
      <c r="C94" s="25"/>
      <c r="D94" s="229"/>
      <c r="E94" s="25"/>
      <c r="F94" s="229"/>
      <c r="G94" s="25"/>
      <c r="H94" s="56"/>
      <c r="I94" s="25"/>
      <c r="J94" s="25"/>
      <c r="K94" s="25"/>
      <c r="L94" s="56"/>
      <c r="M94" s="25"/>
      <c r="N94" s="229"/>
      <c r="O94" s="25"/>
      <c r="P94" s="25"/>
      <c r="S94" s="95" t="s">
        <v>87</v>
      </c>
      <c r="T94" s="95"/>
      <c r="U94" s="87">
        <f t="shared" si="21"/>
        <v>-11633.33780700577</v>
      </c>
      <c r="V94" s="87">
        <f t="shared" si="21"/>
        <v>-17450.006710508656</v>
      </c>
      <c r="W94" s="87">
        <f t="shared" si="21"/>
        <v>-29083.34451751443</v>
      </c>
      <c r="X94" s="87">
        <f t="shared" si="21"/>
        <v>-46533.351228023079</v>
      </c>
      <c r="Y94" s="87">
        <f t="shared" si="21"/>
        <v>-69800.026842034626</v>
      </c>
      <c r="Z94" s="87">
        <f t="shared" si="21"/>
        <v>-93066.702456046158</v>
      </c>
      <c r="AA94" s="87">
        <f t="shared" si="21"/>
        <v>-120695.8797476849</v>
      </c>
      <c r="AB94" s="87">
        <f t="shared" si="21"/>
        <v>-156904.64367199037</v>
      </c>
      <c r="AC94" s="87">
        <f t="shared" si="21"/>
        <v>-197766.74271909811</v>
      </c>
      <c r="AD94" s="87">
        <f t="shared" si="21"/>
        <v>-247208.4283988727</v>
      </c>
      <c r="AE94" s="25"/>
      <c r="AF94" s="3"/>
    </row>
    <row r="95" spans="2:33">
      <c r="B95" s="282"/>
      <c r="C95" s="25"/>
      <c r="D95" s="229"/>
      <c r="E95" s="25"/>
      <c r="F95" s="229"/>
      <c r="G95" s="25"/>
      <c r="H95" s="56"/>
      <c r="I95" s="25"/>
      <c r="J95" s="25"/>
      <c r="K95" s="25"/>
      <c r="L95" s="56"/>
      <c r="M95" s="25"/>
      <c r="N95" s="229"/>
      <c r="O95" s="25"/>
      <c r="P95" s="25"/>
      <c r="S95" s="96" t="s">
        <v>94</v>
      </c>
      <c r="T95" s="96"/>
      <c r="U95" s="70">
        <f>SUM(U92:U94)</f>
        <v>-440000</v>
      </c>
      <c r="V95" s="70">
        <f t="shared" ref="V95:AD95" si="22">SUM(V92:V94)</f>
        <v>-660000</v>
      </c>
      <c r="W95" s="70">
        <f t="shared" si="22"/>
        <v>-1100000</v>
      </c>
      <c r="X95" s="70">
        <f t="shared" si="22"/>
        <v>-1760000</v>
      </c>
      <c r="Y95" s="70">
        <f t="shared" si="22"/>
        <v>-2640000</v>
      </c>
      <c r="Z95" s="70">
        <f t="shared" si="22"/>
        <v>-3520000</v>
      </c>
      <c r="AA95" s="70">
        <f t="shared" si="22"/>
        <v>-4565000.0000000009</v>
      </c>
      <c r="AB95" s="70">
        <f t="shared" si="22"/>
        <v>-5934500.0000000009</v>
      </c>
      <c r="AC95" s="70">
        <f t="shared" si="22"/>
        <v>-7480000</v>
      </c>
      <c r="AD95" s="70">
        <f t="shared" si="22"/>
        <v>-9350000</v>
      </c>
      <c r="AE95" s="48"/>
      <c r="AF95" s="48"/>
    </row>
    <row r="96" spans="2:33">
      <c r="B96" s="282"/>
      <c r="C96" s="25"/>
      <c r="D96" s="229"/>
      <c r="E96" s="25"/>
      <c r="F96" s="229"/>
      <c r="G96" s="25"/>
      <c r="H96" s="56"/>
      <c r="I96" s="25"/>
      <c r="J96" s="25"/>
      <c r="K96" s="25"/>
      <c r="L96" s="56"/>
      <c r="M96" s="25"/>
      <c r="N96" s="229"/>
      <c r="O96" s="25"/>
      <c r="P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</row>
    <row r="97" spans="2:32">
      <c r="B97" s="282"/>
      <c r="C97" s="25"/>
      <c r="D97" s="229"/>
      <c r="E97" s="25"/>
      <c r="F97" s="229"/>
      <c r="G97" s="25"/>
      <c r="H97" s="56"/>
      <c r="I97" s="25"/>
      <c r="J97" s="25"/>
      <c r="K97" s="25"/>
      <c r="L97" s="56"/>
      <c r="M97" s="25"/>
      <c r="N97" s="229"/>
      <c r="O97" s="25"/>
      <c r="P97" s="25"/>
      <c r="S97" s="3" t="s">
        <v>24</v>
      </c>
      <c r="T97" s="3"/>
    </row>
    <row r="98" spans="2:32">
      <c r="B98" s="282"/>
      <c r="C98" s="25"/>
      <c r="D98" s="229"/>
      <c r="E98" s="25"/>
      <c r="F98" s="229"/>
      <c r="G98" s="25"/>
      <c r="H98" s="56"/>
      <c r="I98" s="25"/>
      <c r="J98" s="25"/>
      <c r="K98" s="25"/>
      <c r="L98" s="56"/>
      <c r="M98" s="25"/>
      <c r="N98" s="229"/>
      <c r="O98" s="25"/>
      <c r="P98" s="25"/>
      <c r="S98" s="95" t="s">
        <v>90</v>
      </c>
      <c r="T98" s="95"/>
      <c r="U98" s="33">
        <f t="shared" ref="U98:AD98" si="23">-U68*$D$25</f>
        <v>-850000</v>
      </c>
      <c r="V98" s="33">
        <f t="shared" si="23"/>
        <v>-1275000</v>
      </c>
      <c r="W98" s="33">
        <f t="shared" si="23"/>
        <v>-2125000</v>
      </c>
      <c r="X98" s="33">
        <f t="shared" si="23"/>
        <v>-3400000</v>
      </c>
      <c r="Y98" s="33">
        <f t="shared" si="23"/>
        <v>-5100000</v>
      </c>
      <c r="Z98" s="33">
        <f t="shared" si="23"/>
        <v>-6800000</v>
      </c>
      <c r="AA98" s="33">
        <f t="shared" si="23"/>
        <v>-8500000</v>
      </c>
      <c r="AB98" s="33">
        <f t="shared" si="23"/>
        <v>-11050000</v>
      </c>
      <c r="AC98" s="33">
        <f t="shared" si="23"/>
        <v>-13600000</v>
      </c>
      <c r="AD98" s="33">
        <f t="shared" si="23"/>
        <v>-17000000</v>
      </c>
    </row>
    <row r="99" spans="2:32">
      <c r="B99" s="282"/>
      <c r="C99" s="25"/>
      <c r="D99" s="229"/>
      <c r="E99" s="25"/>
      <c r="F99" s="229"/>
      <c r="G99" s="25"/>
      <c r="H99" s="56"/>
      <c r="I99" s="25"/>
      <c r="J99" s="25"/>
      <c r="K99" s="25"/>
      <c r="L99" s="56"/>
      <c r="M99" s="25"/>
      <c r="N99" s="229"/>
      <c r="O99" s="25"/>
      <c r="P99" s="25"/>
      <c r="S99" s="95" t="s">
        <v>88</v>
      </c>
      <c r="T99" s="95"/>
      <c r="U99" s="33">
        <f t="shared" ref="U99:AD99" si="24">-U69*$F$25</f>
        <v>-62500</v>
      </c>
      <c r="V99" s="33">
        <f t="shared" si="24"/>
        <v>-93750</v>
      </c>
      <c r="W99" s="33">
        <f t="shared" si="24"/>
        <v>-156250</v>
      </c>
      <c r="X99" s="33">
        <f t="shared" si="24"/>
        <v>-250000</v>
      </c>
      <c r="Y99" s="33">
        <f t="shared" si="24"/>
        <v>-375000</v>
      </c>
      <c r="Z99" s="33">
        <f t="shared" si="24"/>
        <v>-500000</v>
      </c>
      <c r="AA99" s="33">
        <f t="shared" si="24"/>
        <v>-625000</v>
      </c>
      <c r="AB99" s="33">
        <f t="shared" si="24"/>
        <v>-812500</v>
      </c>
      <c r="AC99" s="33">
        <f t="shared" si="24"/>
        <v>-1000000</v>
      </c>
      <c r="AD99" s="33">
        <f t="shared" si="24"/>
        <v>-1250000</v>
      </c>
    </row>
    <row r="100" spans="2:32">
      <c r="B100" s="282"/>
      <c r="C100" s="25"/>
      <c r="D100" s="229"/>
      <c r="E100" s="25"/>
      <c r="F100" s="229"/>
      <c r="G100" s="25"/>
      <c r="H100" s="56"/>
      <c r="I100" s="25"/>
      <c r="J100" s="25"/>
      <c r="K100" s="25"/>
      <c r="L100" s="56"/>
      <c r="M100" s="25"/>
      <c r="N100" s="229"/>
      <c r="O100" s="25"/>
      <c r="P100" s="25"/>
      <c r="S100" s="95" t="s">
        <v>87</v>
      </c>
      <c r="T100" s="95"/>
      <c r="U100" s="33">
        <f t="shared" ref="U100:AD100" si="25">-U70*$H$25</f>
        <v>-375000</v>
      </c>
      <c r="V100" s="33">
        <f t="shared" si="25"/>
        <v>-562500</v>
      </c>
      <c r="W100" s="33">
        <f t="shared" si="25"/>
        <v>-937500</v>
      </c>
      <c r="X100" s="33">
        <f t="shared" si="25"/>
        <v>-1500000</v>
      </c>
      <c r="Y100" s="33">
        <f t="shared" si="25"/>
        <v>-2250000</v>
      </c>
      <c r="Z100" s="33">
        <f t="shared" si="25"/>
        <v>-3000000</v>
      </c>
      <c r="AA100" s="33">
        <f t="shared" si="25"/>
        <v>-3750000</v>
      </c>
      <c r="AB100" s="33">
        <f t="shared" si="25"/>
        <v>-4875000</v>
      </c>
      <c r="AC100" s="33">
        <f t="shared" si="25"/>
        <v>-6000000</v>
      </c>
      <c r="AD100" s="33">
        <f t="shared" si="25"/>
        <v>-7500000</v>
      </c>
    </row>
    <row r="101" spans="2:3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S101" s="96" t="s">
        <v>95</v>
      </c>
      <c r="T101" s="96"/>
      <c r="U101" s="97">
        <f>SUM(U98:U100)</f>
        <v>-1287500</v>
      </c>
      <c r="V101" s="97">
        <f t="shared" ref="V101:AD101" si="26">SUM(V98:V100)</f>
        <v>-1931250</v>
      </c>
      <c r="W101" s="97">
        <f t="shared" si="26"/>
        <v>-3218750</v>
      </c>
      <c r="X101" s="97">
        <f t="shared" si="26"/>
        <v>-5150000</v>
      </c>
      <c r="Y101" s="97">
        <f t="shared" si="26"/>
        <v>-7725000</v>
      </c>
      <c r="Z101" s="97">
        <f t="shared" si="26"/>
        <v>-10300000</v>
      </c>
      <c r="AA101" s="97">
        <f t="shared" si="26"/>
        <v>-12875000</v>
      </c>
      <c r="AB101" s="97">
        <f t="shared" si="26"/>
        <v>-16737500</v>
      </c>
      <c r="AC101" s="97">
        <f t="shared" si="26"/>
        <v>-20600000</v>
      </c>
      <c r="AD101" s="97">
        <f t="shared" si="26"/>
        <v>-25750000</v>
      </c>
      <c r="AE101" s="48"/>
      <c r="AF101" s="48"/>
    </row>
    <row r="102" spans="2:32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</row>
    <row r="103" spans="2:32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S103" s="3" t="s">
        <v>96</v>
      </c>
      <c r="T103" s="3"/>
    </row>
    <row r="104" spans="2:32">
      <c r="S104" s="95" t="s">
        <v>99</v>
      </c>
      <c r="T104" s="95"/>
      <c r="U104" s="36">
        <f>U85+U92+U98</f>
        <v>901552.14065226144</v>
      </c>
      <c r="V104" s="36">
        <f t="shared" ref="V104:AD104" si="27">V85+V92+V98</f>
        <v>1352328.210978392</v>
      </c>
      <c r="W104" s="36">
        <f t="shared" si="27"/>
        <v>2253880.3516306533</v>
      </c>
      <c r="X104" s="36">
        <f t="shared" si="27"/>
        <v>3606208.5626090458</v>
      </c>
      <c r="Y104" s="36">
        <f t="shared" si="27"/>
        <v>5409312.8439135682</v>
      </c>
      <c r="Z104" s="36">
        <f t="shared" si="27"/>
        <v>7212417.1252180915</v>
      </c>
      <c r="AA104" s="36">
        <f t="shared" si="27"/>
        <v>8875478.4592672139</v>
      </c>
      <c r="AB104" s="36">
        <f t="shared" si="27"/>
        <v>11538121.997047376</v>
      </c>
      <c r="AC104" s="36">
        <f t="shared" si="27"/>
        <v>14051386.391088445</v>
      </c>
      <c r="AD104" s="36">
        <f t="shared" si="27"/>
        <v>17564232.988860555</v>
      </c>
      <c r="AE104" s="36"/>
      <c r="AF104" s="36"/>
    </row>
    <row r="105" spans="2:32">
      <c r="S105" s="95" t="s">
        <v>88</v>
      </c>
      <c r="T105" s="95"/>
      <c r="U105" s="36">
        <f t="shared" ref="U105:AD106" si="28">U86+U93+U99</f>
        <v>38831.197154744325</v>
      </c>
      <c r="V105" s="36">
        <f t="shared" si="28"/>
        <v>58246.795732116501</v>
      </c>
      <c r="W105" s="36">
        <f t="shared" si="28"/>
        <v>97077.992886860826</v>
      </c>
      <c r="X105" s="36">
        <f t="shared" si="28"/>
        <v>155324.7886189773</v>
      </c>
      <c r="Y105" s="36">
        <f t="shared" si="28"/>
        <v>232987.18292846601</v>
      </c>
      <c r="Z105" s="36">
        <f t="shared" si="28"/>
        <v>310649.5772379546</v>
      </c>
      <c r="AA105" s="36">
        <f t="shared" si="28"/>
        <v>367717.42048047238</v>
      </c>
      <c r="AB105" s="36">
        <f t="shared" si="28"/>
        <v>478032.64662461402</v>
      </c>
      <c r="AC105" s="36">
        <f t="shared" si="28"/>
        <v>566380.35163065372</v>
      </c>
      <c r="AD105" s="36">
        <f t="shared" si="28"/>
        <v>707975.4395383168</v>
      </c>
      <c r="AE105" s="36"/>
      <c r="AF105" s="36"/>
    </row>
    <row r="106" spans="2:32">
      <c r="S106" s="95" t="s">
        <v>87</v>
      </c>
      <c r="T106" s="95"/>
      <c r="U106" s="36">
        <f t="shared" si="28"/>
        <v>-199133.33780700577</v>
      </c>
      <c r="V106" s="36">
        <f t="shared" si="28"/>
        <v>-298700.00671050866</v>
      </c>
      <c r="W106" s="36">
        <f t="shared" si="28"/>
        <v>-497833.34451751446</v>
      </c>
      <c r="X106" s="36">
        <f t="shared" si="28"/>
        <v>-796533.35122802306</v>
      </c>
      <c r="Y106" s="36">
        <f t="shared" si="28"/>
        <v>-1194800.0268420347</v>
      </c>
      <c r="Z106" s="36">
        <f t="shared" si="28"/>
        <v>-1593066.7024560461</v>
      </c>
      <c r="AA106" s="36">
        <f t="shared" si="28"/>
        <v>-1995695.8797476848</v>
      </c>
      <c r="AB106" s="36">
        <f t="shared" si="28"/>
        <v>-2594404.6436719904</v>
      </c>
      <c r="AC106" s="36">
        <f t="shared" si="28"/>
        <v>-3197766.742719098</v>
      </c>
      <c r="AD106" s="36">
        <f t="shared" si="28"/>
        <v>-3997208.4283988727</v>
      </c>
      <c r="AE106" s="36"/>
      <c r="AF106" s="36"/>
    </row>
    <row r="107" spans="2:32">
      <c r="S107" s="95" t="s">
        <v>41</v>
      </c>
      <c r="T107" s="95"/>
      <c r="U107" s="36">
        <f>U88</f>
        <v>126249.99999999999</v>
      </c>
      <c r="V107" s="36">
        <f t="shared" ref="V107:AD107" si="29">V88</f>
        <v>189375</v>
      </c>
      <c r="W107" s="36">
        <f t="shared" si="29"/>
        <v>315625</v>
      </c>
      <c r="X107" s="36">
        <f t="shared" si="29"/>
        <v>504999.99999999994</v>
      </c>
      <c r="Y107" s="36">
        <f t="shared" si="29"/>
        <v>757500</v>
      </c>
      <c r="Z107" s="36">
        <f t="shared" si="29"/>
        <v>1009999.9999999999</v>
      </c>
      <c r="AA107" s="36">
        <f t="shared" si="29"/>
        <v>1262500</v>
      </c>
      <c r="AB107" s="36">
        <f t="shared" si="29"/>
        <v>1641249.9999999998</v>
      </c>
      <c r="AC107" s="36">
        <f t="shared" si="29"/>
        <v>2019999.9999999998</v>
      </c>
      <c r="AD107" s="36">
        <f t="shared" si="29"/>
        <v>2525000</v>
      </c>
      <c r="AE107" s="36"/>
      <c r="AF107" s="36"/>
    </row>
    <row r="108" spans="2:32">
      <c r="S108" s="95" t="s">
        <v>202</v>
      </c>
      <c r="T108" s="95"/>
      <c r="U108" s="36">
        <v>600000</v>
      </c>
      <c r="V108" s="36">
        <v>600000</v>
      </c>
      <c r="W108" s="36">
        <v>600000</v>
      </c>
      <c r="X108" s="36">
        <v>600000</v>
      </c>
      <c r="Y108" s="36">
        <v>600000</v>
      </c>
      <c r="Z108" s="36">
        <v>600000</v>
      </c>
      <c r="AA108" s="36">
        <v>600000</v>
      </c>
      <c r="AB108" s="36">
        <v>600000</v>
      </c>
      <c r="AC108" s="36">
        <v>600000</v>
      </c>
      <c r="AD108" s="36">
        <v>600000</v>
      </c>
      <c r="AE108" s="36"/>
      <c r="AF108" s="36"/>
    </row>
    <row r="109" spans="2:32">
      <c r="S109" s="96" t="s">
        <v>97</v>
      </c>
      <c r="T109" s="96"/>
      <c r="U109" s="97">
        <f>SUM(U104:U108)</f>
        <v>1467500</v>
      </c>
      <c r="V109" s="97">
        <f t="shared" ref="V109:AD109" si="30">SUM(V104:V108)</f>
        <v>1901250</v>
      </c>
      <c r="W109" s="97">
        <f t="shared" si="30"/>
        <v>2768749.9999999995</v>
      </c>
      <c r="X109" s="97">
        <f t="shared" si="30"/>
        <v>4070000</v>
      </c>
      <c r="Y109" s="97">
        <f t="shared" si="30"/>
        <v>5805000</v>
      </c>
      <c r="Z109" s="97">
        <f t="shared" si="30"/>
        <v>7540000</v>
      </c>
      <c r="AA109" s="97">
        <f t="shared" si="30"/>
        <v>9110000.0000000019</v>
      </c>
      <c r="AB109" s="97">
        <f t="shared" si="30"/>
        <v>11663000</v>
      </c>
      <c r="AC109" s="97">
        <f t="shared" si="30"/>
        <v>14040000</v>
      </c>
      <c r="AD109" s="97">
        <f t="shared" si="30"/>
        <v>17399999.999999996</v>
      </c>
      <c r="AE109" s="97"/>
      <c r="AF109" s="97"/>
    </row>
    <row r="111" spans="2:32">
      <c r="S111" s="3" t="s">
        <v>25</v>
      </c>
      <c r="T111" s="3"/>
    </row>
    <row r="112" spans="2:32">
      <c r="S112" s="95" t="s">
        <v>90</v>
      </c>
      <c r="T112" s="95"/>
      <c r="U112" s="33">
        <f t="shared" ref="U112:AD112" si="31">-U104*$D$35</f>
        <v>-676164.10548919602</v>
      </c>
      <c r="V112" s="33">
        <f t="shared" si="31"/>
        <v>-1014246.158233794</v>
      </c>
      <c r="W112" s="33">
        <f t="shared" si="31"/>
        <v>-1690410.2637229899</v>
      </c>
      <c r="X112" s="33">
        <f t="shared" si="31"/>
        <v>-2704656.4219567841</v>
      </c>
      <c r="Y112" s="33">
        <f t="shared" si="31"/>
        <v>-4056984.6329351761</v>
      </c>
      <c r="Z112" s="33">
        <f t="shared" si="31"/>
        <v>-5409312.8439135682</v>
      </c>
      <c r="AA112" s="33">
        <f t="shared" si="31"/>
        <v>-6656608.8444504105</v>
      </c>
      <c r="AB112" s="33">
        <f t="shared" si="31"/>
        <v>-8653591.497785531</v>
      </c>
      <c r="AC112" s="33">
        <f t="shared" si="31"/>
        <v>-10538539.793316334</v>
      </c>
      <c r="AD112" s="33">
        <f t="shared" si="31"/>
        <v>-13173174.741645416</v>
      </c>
    </row>
    <row r="113" spans="19:32">
      <c r="S113" s="95" t="s">
        <v>88</v>
      </c>
      <c r="T113" s="95"/>
      <c r="U113" s="33">
        <f t="shared" ref="U113:AD113" si="32">-U105*$F$35</f>
        <v>0</v>
      </c>
      <c r="V113" s="33">
        <f t="shared" si="32"/>
        <v>0</v>
      </c>
      <c r="W113" s="33">
        <f t="shared" si="32"/>
        <v>0</v>
      </c>
      <c r="X113" s="33">
        <f t="shared" si="32"/>
        <v>0</v>
      </c>
      <c r="Y113" s="33">
        <f t="shared" si="32"/>
        <v>0</v>
      </c>
      <c r="Z113" s="33">
        <f t="shared" si="32"/>
        <v>0</v>
      </c>
      <c r="AA113" s="33">
        <f t="shared" si="32"/>
        <v>0</v>
      </c>
      <c r="AB113" s="33">
        <f t="shared" si="32"/>
        <v>0</v>
      </c>
      <c r="AC113" s="33">
        <f t="shared" si="32"/>
        <v>0</v>
      </c>
      <c r="AD113" s="33">
        <f t="shared" si="32"/>
        <v>0</v>
      </c>
    </row>
    <row r="114" spans="19:32">
      <c r="S114" s="95" t="s">
        <v>87</v>
      </c>
      <c r="T114" s="95"/>
      <c r="U114" s="33">
        <f t="shared" ref="U114:AD114" si="33">-U70*$H$35</f>
        <v>-187500.00000000003</v>
      </c>
      <c r="V114" s="33">
        <f t="shared" si="33"/>
        <v>-281250.00000000006</v>
      </c>
      <c r="W114" s="33">
        <f t="shared" si="33"/>
        <v>-468750.00000000006</v>
      </c>
      <c r="X114" s="33">
        <f t="shared" si="33"/>
        <v>-750000.00000000012</v>
      </c>
      <c r="Y114" s="33">
        <f t="shared" si="33"/>
        <v>-1125000.0000000002</v>
      </c>
      <c r="Z114" s="33">
        <f t="shared" si="33"/>
        <v>-1500000.0000000002</v>
      </c>
      <c r="AA114" s="33">
        <f t="shared" si="33"/>
        <v>-1875000.0000000002</v>
      </c>
      <c r="AB114" s="33">
        <f t="shared" si="33"/>
        <v>-2437500.0000000005</v>
      </c>
      <c r="AC114" s="33">
        <f t="shared" si="33"/>
        <v>-3000000.0000000005</v>
      </c>
      <c r="AD114" s="33">
        <f t="shared" si="33"/>
        <v>-3750000.0000000005</v>
      </c>
    </row>
    <row r="115" spans="19:32">
      <c r="S115" s="95" t="s">
        <v>105</v>
      </c>
      <c r="U115" s="177">
        <f>'Model-2-High'!U115</f>
        <v>-60000000</v>
      </c>
      <c r="V115" s="47">
        <f>'Model-2-High'!V115</f>
        <v>-60000000</v>
      </c>
      <c r="W115" s="47">
        <f>'Model-2-High'!W115</f>
        <v>-60000000</v>
      </c>
      <c r="X115" s="47">
        <f>'Model-2-High'!X115</f>
        <v>-60000000</v>
      </c>
      <c r="Y115" s="47">
        <f>'Model-2-High'!Y115</f>
        <v>-60000000</v>
      </c>
      <c r="Z115" s="47">
        <f>'Model-2-High'!Z115</f>
        <v>-60000000</v>
      </c>
      <c r="AA115" s="47">
        <f>'Model-2-High'!AA115</f>
        <v>-60000000</v>
      </c>
      <c r="AB115" s="47">
        <f>'Model-2-High'!AB115</f>
        <v>-60000000</v>
      </c>
      <c r="AC115" s="47">
        <f>'Model-2-High'!AC115</f>
        <v>-60000000</v>
      </c>
      <c r="AD115" s="47">
        <f>'Model-2-High'!AD115</f>
        <v>-60000000</v>
      </c>
    </row>
    <row r="116" spans="19:32">
      <c r="S116" s="95" t="s">
        <v>41</v>
      </c>
      <c r="T116" s="95"/>
      <c r="U116" s="177">
        <f>'Model-2-High'!U116</f>
        <v>-15000000</v>
      </c>
      <c r="V116" s="47">
        <f>'Model-2-High'!V116</f>
        <v>-15000000</v>
      </c>
      <c r="W116" s="47">
        <f>'Model-2-High'!W116</f>
        <v>-15000000</v>
      </c>
      <c r="X116" s="47">
        <f>'Model-2-High'!X116</f>
        <v>-15000000</v>
      </c>
      <c r="Y116" s="47">
        <f>'Model-2-High'!Y116</f>
        <v>-15000000</v>
      </c>
      <c r="Z116" s="47">
        <f>'Model-2-High'!Z116</f>
        <v>-15000000</v>
      </c>
      <c r="AA116" s="47">
        <f>'Model-2-High'!AA116</f>
        <v>-15000000</v>
      </c>
      <c r="AB116" s="47">
        <f>'Model-2-High'!AB116</f>
        <v>-15000000</v>
      </c>
      <c r="AC116" s="47">
        <f>'Model-2-High'!AC116</f>
        <v>-15000000</v>
      </c>
      <c r="AD116" s="47">
        <f>'Model-2-High'!AD116</f>
        <v>-15000000</v>
      </c>
    </row>
    <row r="117" spans="19:32">
      <c r="S117" s="95" t="s">
        <v>98</v>
      </c>
      <c r="T117" s="176">
        <f>'Model-2-High'!T117</f>
        <v>-142500000</v>
      </c>
      <c r="U117" s="33">
        <v>0</v>
      </c>
      <c r="V117" s="33">
        <v>0</v>
      </c>
      <c r="W117" s="33">
        <v>0</v>
      </c>
      <c r="X117" s="33">
        <v>0</v>
      </c>
      <c r="Y117" s="33">
        <v>0</v>
      </c>
      <c r="Z117" s="33">
        <v>0</v>
      </c>
      <c r="AA117" s="33">
        <v>0</v>
      </c>
      <c r="AB117" s="33">
        <v>0</v>
      </c>
      <c r="AC117" s="33">
        <v>0</v>
      </c>
      <c r="AD117" s="33">
        <v>0</v>
      </c>
    </row>
    <row r="118" spans="19:32">
      <c r="S118" s="96" t="s">
        <v>100</v>
      </c>
      <c r="T118" s="98">
        <f t="shared" ref="T118:AD118" si="34">SUM(T112:T117)</f>
        <v>-142500000</v>
      </c>
      <c r="U118" s="98">
        <f t="shared" si="34"/>
        <v>-75863664.105489194</v>
      </c>
      <c r="V118" s="98">
        <f t="shared" si="34"/>
        <v>-76295496.158233792</v>
      </c>
      <c r="W118" s="98">
        <f t="shared" si="34"/>
        <v>-77159160.263722986</v>
      </c>
      <c r="X118" s="98">
        <f t="shared" si="34"/>
        <v>-78454656.421956778</v>
      </c>
      <c r="Y118" s="98">
        <f t="shared" si="34"/>
        <v>-80181984.632935166</v>
      </c>
      <c r="Z118" s="98">
        <f t="shared" si="34"/>
        <v>-81909312.84391357</v>
      </c>
      <c r="AA118" s="98">
        <f t="shared" si="34"/>
        <v>-83531608.844450414</v>
      </c>
      <c r="AB118" s="98">
        <f t="shared" si="34"/>
        <v>-86091091.497785538</v>
      </c>
      <c r="AC118" s="98">
        <f t="shared" si="34"/>
        <v>-88538539.793316334</v>
      </c>
      <c r="AD118" s="98">
        <f t="shared" si="34"/>
        <v>-91923174.741645426</v>
      </c>
      <c r="AE118" s="97"/>
      <c r="AF118" s="97"/>
    </row>
    <row r="120" spans="19:32">
      <c r="S120" s="99" t="s">
        <v>29</v>
      </c>
      <c r="T120" s="100">
        <f t="shared" ref="T120:AD120" si="35">T109+T118</f>
        <v>-142500000</v>
      </c>
      <c r="U120" s="100">
        <f>U109+U118</f>
        <v>-74396164.105489194</v>
      </c>
      <c r="V120" s="100">
        <f t="shared" si="35"/>
        <v>-74394246.158233792</v>
      </c>
      <c r="W120" s="100">
        <f t="shared" si="35"/>
        <v>-74390410.263722986</v>
      </c>
      <c r="X120" s="100">
        <f t="shared" si="35"/>
        <v>-74384656.421956778</v>
      </c>
      <c r="Y120" s="100">
        <f t="shared" si="35"/>
        <v>-74376984.632935166</v>
      </c>
      <c r="Z120" s="100">
        <f t="shared" si="35"/>
        <v>-74369312.84391357</v>
      </c>
      <c r="AA120" s="100">
        <f t="shared" si="35"/>
        <v>-74421608.844450414</v>
      </c>
      <c r="AB120" s="100">
        <f t="shared" si="35"/>
        <v>-74428091.497785538</v>
      </c>
      <c r="AC120" s="100">
        <f t="shared" si="35"/>
        <v>-74498539.793316334</v>
      </c>
      <c r="AD120" s="100">
        <f t="shared" si="35"/>
        <v>-74523174.741645426</v>
      </c>
      <c r="AF120" s="47">
        <f>SUM(T120:AD120)</f>
        <v>-886683189.30344927</v>
      </c>
    </row>
  </sheetData>
  <pageMargins left="0.25" right="0.25" top="0.75" bottom="0.75" header="0.3" footer="0.3"/>
  <pageSetup scale="51" orientation="landscape" horizontalDpi="4294967292" verticalDpi="4294967292" r:id="rId1"/>
  <rowBreaks count="1" manualBreakCount="1">
    <brk id="58" max="31" man="1"/>
  </rowBreaks>
  <colBreaks count="1" manualBreakCount="1">
    <brk id="16" max="111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2:O39"/>
  <sheetViews>
    <sheetView showGridLines="0" view="pageBreakPreview" zoomScaleNormal="100" zoomScaleSheetLayoutView="82" workbookViewId="0">
      <selection activeCell="A20" sqref="A20"/>
    </sheetView>
  </sheetViews>
  <sheetFormatPr defaultColWidth="10.625" defaultRowHeight="15.75"/>
  <cols>
    <col min="1" max="1" width="24.375" customWidth="1"/>
    <col min="3" max="3" width="20.125" customWidth="1"/>
    <col min="6" max="6" width="3.125" style="3" customWidth="1"/>
    <col min="10" max="10" width="52.5" customWidth="1"/>
    <col min="15" max="15" width="17.875" bestFit="1" customWidth="1"/>
    <col min="17" max="17" width="3.125" customWidth="1"/>
  </cols>
  <sheetData>
    <row r="2" spans="1:14">
      <c r="A2" s="4" t="s">
        <v>190</v>
      </c>
    </row>
    <row r="3" spans="1:14">
      <c r="A3" s="4"/>
    </row>
    <row r="4" spans="1:14">
      <c r="A4" s="4" t="s">
        <v>4</v>
      </c>
      <c r="B4" s="180" t="s">
        <v>200</v>
      </c>
      <c r="C4" s="32" t="s">
        <v>201</v>
      </c>
      <c r="I4" t="s">
        <v>206</v>
      </c>
      <c r="K4" t="s">
        <v>33</v>
      </c>
    </row>
    <row r="5" spans="1:14">
      <c r="A5" t="s">
        <v>9</v>
      </c>
      <c r="B5" s="37">
        <v>3</v>
      </c>
      <c r="C5" s="73">
        <f>B5*1.5</f>
        <v>4.5</v>
      </c>
      <c r="D5" t="s">
        <v>4</v>
      </c>
      <c r="I5">
        <v>0</v>
      </c>
      <c r="L5" t="s">
        <v>34</v>
      </c>
      <c r="M5" s="35" t="s">
        <v>38</v>
      </c>
      <c r="N5" t="s">
        <v>37</v>
      </c>
    </row>
    <row r="6" spans="1:14">
      <c r="A6" t="s">
        <v>31</v>
      </c>
      <c r="B6" s="37">
        <v>6</v>
      </c>
      <c r="C6" s="73">
        <f t="shared" ref="C6:C7" si="0">B6*1.5</f>
        <v>9</v>
      </c>
      <c r="D6" t="s">
        <v>57</v>
      </c>
      <c r="I6" s="1">
        <f>0.3*B6</f>
        <v>1.7999999999999998</v>
      </c>
      <c r="K6" t="s">
        <v>35</v>
      </c>
      <c r="L6">
        <v>38</v>
      </c>
      <c r="M6">
        <v>4600</v>
      </c>
      <c r="N6" s="33">
        <f>M6/L6</f>
        <v>121.05263157894737</v>
      </c>
    </row>
    <row r="7" spans="1:14">
      <c r="A7" t="s">
        <v>8</v>
      </c>
      <c r="B7" s="37">
        <v>2</v>
      </c>
      <c r="C7" s="73">
        <f t="shared" si="0"/>
        <v>3</v>
      </c>
      <c r="I7" s="1">
        <f t="shared" ref="I7:I9" si="1">0.3*B7</f>
        <v>0.6</v>
      </c>
      <c r="K7" t="s">
        <v>27</v>
      </c>
      <c r="L7">
        <v>55</v>
      </c>
      <c r="M7">
        <v>7300</v>
      </c>
      <c r="N7" s="33">
        <f t="shared" ref="N7:N13" si="2">M7/L7</f>
        <v>132.72727272727272</v>
      </c>
    </row>
    <row r="8" spans="1:14">
      <c r="A8" t="s">
        <v>32</v>
      </c>
      <c r="B8" s="37">
        <v>6</v>
      </c>
      <c r="C8" s="73">
        <f>B8*1.5</f>
        <v>9</v>
      </c>
      <c r="D8" t="s">
        <v>194</v>
      </c>
      <c r="I8" s="1">
        <f t="shared" si="1"/>
        <v>1.7999999999999998</v>
      </c>
      <c r="N8" s="33"/>
    </row>
    <row r="9" spans="1:14">
      <c r="A9" s="3" t="s">
        <v>5</v>
      </c>
      <c r="B9" s="179">
        <v>3</v>
      </c>
      <c r="C9" s="73">
        <f>B9*1.5</f>
        <v>4.5</v>
      </c>
      <c r="I9" s="1">
        <f t="shared" si="1"/>
        <v>0.89999999999999991</v>
      </c>
      <c r="N9" s="33"/>
    </row>
    <row r="10" spans="1:14">
      <c r="A10" s="3" t="s">
        <v>186</v>
      </c>
      <c r="B10" s="179">
        <f>75</f>
        <v>75</v>
      </c>
      <c r="C10" s="73">
        <f>B10*1.5</f>
        <v>112.5</v>
      </c>
      <c r="N10" s="33"/>
    </row>
    <row r="11" spans="1:14">
      <c r="A11" s="52" t="s">
        <v>7</v>
      </c>
      <c r="B11" s="181">
        <f>SUM(B5:B10)</f>
        <v>95</v>
      </c>
      <c r="C11" s="181">
        <f>SUM(C5:C10)</f>
        <v>142.5</v>
      </c>
      <c r="I11" s="187">
        <f>SUM(I5:I10)</f>
        <v>5.0999999999999996</v>
      </c>
      <c r="N11" s="33"/>
    </row>
    <row r="12" spans="1:14">
      <c r="B12" s="37"/>
      <c r="C12" s="73"/>
      <c r="N12" s="33"/>
    </row>
    <row r="13" spans="1:14">
      <c r="A13" t="s">
        <v>187</v>
      </c>
      <c r="B13" s="37">
        <f>SUM(B5:B10)</f>
        <v>95</v>
      </c>
      <c r="C13" s="37">
        <f>SUM(C5:C10)</f>
        <v>142.5</v>
      </c>
      <c r="K13" t="s">
        <v>36</v>
      </c>
      <c r="L13">
        <v>178</v>
      </c>
      <c r="M13">
        <v>16600</v>
      </c>
      <c r="N13" s="33">
        <f t="shared" si="2"/>
        <v>93.258426966292134</v>
      </c>
    </row>
    <row r="14" spans="1:14">
      <c r="A14" t="s">
        <v>188</v>
      </c>
      <c r="B14" s="37">
        <f>SUM(B5:B9)+5</f>
        <v>25</v>
      </c>
      <c r="C14" s="37">
        <f>SUM(C5:C9)+5*1.5</f>
        <v>37.5</v>
      </c>
      <c r="D14" t="s">
        <v>195</v>
      </c>
    </row>
    <row r="15" spans="1:14">
      <c r="A15" t="s">
        <v>189</v>
      </c>
      <c r="B15" s="37">
        <f>SUM(B5:B10)</f>
        <v>95</v>
      </c>
      <c r="C15" s="37">
        <f>SUM(C5:C10)</f>
        <v>142.5</v>
      </c>
    </row>
    <row r="16" spans="1:14">
      <c r="B16" s="37"/>
      <c r="C16" s="37"/>
    </row>
    <row r="17" spans="1:15">
      <c r="B17" s="37"/>
      <c r="C17" s="37"/>
    </row>
    <row r="18" spans="1:15">
      <c r="A18" s="4" t="s">
        <v>192</v>
      </c>
      <c r="B18" s="37"/>
      <c r="C18" s="37"/>
    </row>
    <row r="19" spans="1:15">
      <c r="A19" t="s">
        <v>214</v>
      </c>
      <c r="B19" s="37"/>
      <c r="C19" s="37"/>
    </row>
    <row r="20" spans="1:15">
      <c r="A20" s="52" t="s">
        <v>7</v>
      </c>
      <c r="B20" s="181">
        <f>B14*0.2</f>
        <v>5</v>
      </c>
      <c r="C20" s="182">
        <f>C14*0.2</f>
        <v>7.5</v>
      </c>
      <c r="E20" s="186" t="s">
        <v>205</v>
      </c>
    </row>
    <row r="21" spans="1:15">
      <c r="B21" s="37"/>
      <c r="C21" s="37"/>
    </row>
    <row r="22" spans="1:15">
      <c r="K22" s="34"/>
      <c r="O22" s="36"/>
    </row>
    <row r="23" spans="1:15">
      <c r="A23" s="4" t="s">
        <v>198</v>
      </c>
      <c r="B23" s="180"/>
      <c r="C23" s="180"/>
      <c r="K23" s="34"/>
      <c r="O23" s="62"/>
    </row>
    <row r="24" spans="1:15">
      <c r="A24" s="146" t="s">
        <v>193</v>
      </c>
      <c r="B24" s="180" t="s">
        <v>200</v>
      </c>
      <c r="C24" s="32" t="s">
        <v>201</v>
      </c>
      <c r="I24" t="s">
        <v>206</v>
      </c>
    </row>
    <row r="25" spans="1:15">
      <c r="A25" t="s">
        <v>9</v>
      </c>
      <c r="B25" s="38">
        <v>1</v>
      </c>
      <c r="C25" s="178">
        <f>B25*1.5</f>
        <v>1.5</v>
      </c>
      <c r="I25">
        <v>0</v>
      </c>
    </row>
    <row r="26" spans="1:15">
      <c r="A26" t="s">
        <v>63</v>
      </c>
      <c r="B26" s="38">
        <v>4</v>
      </c>
      <c r="C26" s="178">
        <f t="shared" ref="C26:C30" si="3">B26*1.5</f>
        <v>6</v>
      </c>
      <c r="D26" t="s">
        <v>4</v>
      </c>
      <c r="I26" s="38">
        <f>0.3*B26</f>
        <v>1.2</v>
      </c>
    </row>
    <row r="27" spans="1:15">
      <c r="A27" t="s">
        <v>8</v>
      </c>
      <c r="B27" s="38">
        <v>1</v>
      </c>
      <c r="C27" s="178">
        <f t="shared" si="3"/>
        <v>1.5</v>
      </c>
      <c r="I27" s="38">
        <f t="shared" ref="I27:I29" si="4">0.3*B27</f>
        <v>0.3</v>
      </c>
    </row>
    <row r="28" spans="1:15">
      <c r="A28" t="s">
        <v>39</v>
      </c>
      <c r="B28" s="38">
        <f>(B8+5)*0.2</f>
        <v>2.2000000000000002</v>
      </c>
      <c r="C28" s="178">
        <f t="shared" si="3"/>
        <v>3.3000000000000003</v>
      </c>
      <c r="E28" t="s">
        <v>196</v>
      </c>
      <c r="I28" s="38">
        <f t="shared" si="4"/>
        <v>0.66</v>
      </c>
    </row>
    <row r="29" spans="1:15">
      <c r="A29" s="3" t="s">
        <v>5</v>
      </c>
      <c r="B29" s="183">
        <v>1.5</v>
      </c>
      <c r="C29" s="178">
        <f t="shared" si="3"/>
        <v>2.25</v>
      </c>
      <c r="I29" s="38">
        <f t="shared" si="4"/>
        <v>0.44999999999999996</v>
      </c>
    </row>
    <row r="30" spans="1:15">
      <c r="A30" s="5" t="s">
        <v>186</v>
      </c>
      <c r="B30" s="39">
        <f>B10*0.2+25</f>
        <v>40</v>
      </c>
      <c r="C30" s="178">
        <f t="shared" si="3"/>
        <v>60</v>
      </c>
      <c r="E30" t="s">
        <v>197</v>
      </c>
    </row>
    <row r="31" spans="1:15">
      <c r="A31" s="25" t="s">
        <v>42</v>
      </c>
      <c r="B31" s="38">
        <f>SUM(B25:B30)</f>
        <v>49.7</v>
      </c>
      <c r="C31" s="184">
        <f>SUM(C25:C30)</f>
        <v>74.55</v>
      </c>
      <c r="E31" t="s">
        <v>4</v>
      </c>
      <c r="I31" s="188">
        <f>SUM(I25:I30)</f>
        <v>2.6100000000000003</v>
      </c>
    </row>
    <row r="32" spans="1:15">
      <c r="A32" s="25"/>
      <c r="B32" s="38"/>
      <c r="C32" s="178"/>
    </row>
    <row r="33" spans="1:3">
      <c r="A33" t="s">
        <v>187</v>
      </c>
      <c r="B33" s="38">
        <f>B31</f>
        <v>49.7</v>
      </c>
      <c r="C33" s="178">
        <f>C31</f>
        <v>74.55</v>
      </c>
    </row>
    <row r="34" spans="1:3">
      <c r="A34" t="s">
        <v>188</v>
      </c>
      <c r="B34" s="38">
        <f>SUM(B25:B29)</f>
        <v>9.6999999999999993</v>
      </c>
      <c r="C34" s="38">
        <f>SUM(C25:C29)</f>
        <v>14.55</v>
      </c>
    </row>
    <row r="35" spans="1:3">
      <c r="A35" t="s">
        <v>189</v>
      </c>
      <c r="B35" s="38">
        <f>B33</f>
        <v>49.7</v>
      </c>
      <c r="C35" s="38">
        <f>C33</f>
        <v>74.55</v>
      </c>
    </row>
    <row r="36" spans="1:3">
      <c r="B36" s="38"/>
      <c r="C36" s="178"/>
    </row>
    <row r="37" spans="1:3">
      <c r="A37" s="4" t="s">
        <v>199</v>
      </c>
      <c r="B37" s="38"/>
      <c r="C37" s="178"/>
    </row>
    <row r="38" spans="1:3">
      <c r="A38" t="s">
        <v>191</v>
      </c>
      <c r="B38" s="38"/>
      <c r="C38" s="178"/>
    </row>
    <row r="39" spans="1:3">
      <c r="A39" s="52" t="s">
        <v>7</v>
      </c>
      <c r="B39" s="185">
        <f>B34*0.2</f>
        <v>1.94</v>
      </c>
      <c r="C39" s="185">
        <f>C34*0.2</f>
        <v>2.91</v>
      </c>
    </row>
  </sheetData>
  <pageMargins left="0.25" right="0.25" top="0.75" bottom="0.75" header="0.3" footer="0.3"/>
  <pageSetup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3329-7EB4-8548-AC65-2504B0B8D82A}">
  <sheetPr>
    <tabColor rgb="FF0070C0"/>
    <pageSetUpPr fitToPage="1"/>
  </sheetPr>
  <dimension ref="A1:K75"/>
  <sheetViews>
    <sheetView showGridLines="0" zoomScaleNormal="100" workbookViewId="0">
      <selection activeCell="D44" sqref="D44"/>
    </sheetView>
  </sheetViews>
  <sheetFormatPr defaultColWidth="11" defaultRowHeight="15.75"/>
  <cols>
    <col min="1" max="1" width="13.625" customWidth="1"/>
    <col min="2" max="3" width="15.375" customWidth="1"/>
    <col min="4" max="4" width="16.875" customWidth="1"/>
    <col min="5" max="5" width="17.125" customWidth="1"/>
    <col min="6" max="6" width="4.625" customWidth="1"/>
    <col min="7" max="7" width="28.875" style="25" customWidth="1"/>
    <col min="8" max="9" width="16.875" style="269" customWidth="1"/>
    <col min="10" max="10" width="11" style="269"/>
  </cols>
  <sheetData>
    <row r="1" spans="1:10" s="144" customFormat="1" ht="18.75">
      <c r="A1" s="145" t="s">
        <v>148</v>
      </c>
      <c r="G1" s="267"/>
      <c r="H1" s="268"/>
      <c r="I1" s="268"/>
      <c r="J1" s="268"/>
    </row>
    <row r="3" spans="1:10">
      <c r="A3" s="4" t="s">
        <v>244</v>
      </c>
      <c r="G3" s="55" t="s">
        <v>247</v>
      </c>
    </row>
    <row r="4" spans="1:10">
      <c r="A4" s="4"/>
    </row>
    <row r="5" spans="1:10" ht="78.75">
      <c r="A5" s="5"/>
      <c r="B5" s="76" t="s">
        <v>124</v>
      </c>
      <c r="C5" s="76" t="s">
        <v>107</v>
      </c>
      <c r="D5" s="76" t="s">
        <v>127</v>
      </c>
      <c r="E5" s="76" t="s">
        <v>128</v>
      </c>
      <c r="G5" s="107"/>
      <c r="H5" s="275" t="s">
        <v>227</v>
      </c>
      <c r="I5" s="275" t="s">
        <v>136</v>
      </c>
      <c r="J5" s="275" t="s">
        <v>226</v>
      </c>
    </row>
    <row r="6" spans="1:10">
      <c r="A6" s="3" t="s">
        <v>141</v>
      </c>
      <c r="B6" s="77">
        <f>B50</f>
        <v>0</v>
      </c>
      <c r="C6" s="77">
        <f>C50</f>
        <v>0</v>
      </c>
      <c r="D6" s="33">
        <f>'Model-1-Low'!$T$118/1000000</f>
        <v>-5</v>
      </c>
      <c r="E6" s="33">
        <f>'ReinvestNon-Bank-High'!$T$118/1000000</f>
        <v>-7.5</v>
      </c>
      <c r="G6" s="25" t="s">
        <v>225</v>
      </c>
      <c r="H6" s="272">
        <v>5</v>
      </c>
      <c r="I6" s="272" t="s">
        <v>228</v>
      </c>
      <c r="J6" s="272">
        <v>10</v>
      </c>
    </row>
    <row r="7" spans="1:10">
      <c r="A7" s="47" t="s">
        <v>43</v>
      </c>
      <c r="B7" s="33">
        <f>'Model-1-Low'!$U$71/1000000</f>
        <v>50</v>
      </c>
      <c r="C7" s="33">
        <f>'ReinvestNon-Bank-High'!$U$75/1000000</f>
        <v>55</v>
      </c>
      <c r="D7" s="33">
        <f>'Model-1-Low'!$U$118/1000000</f>
        <v>-1.5333346195141588</v>
      </c>
      <c r="E7" s="33">
        <f>'ReinvestNon-Bank-High'!$U$118/1000000</f>
        <v>-3.1512519292712389</v>
      </c>
      <c r="G7" s="25" t="s">
        <v>229</v>
      </c>
      <c r="H7" s="272">
        <f>'Model-1-Trends'!F12</f>
        <v>330</v>
      </c>
      <c r="I7" s="273"/>
      <c r="J7" s="272">
        <f>'Model-1-Trends'!R17</f>
        <v>1100</v>
      </c>
    </row>
    <row r="8" spans="1:10">
      <c r="A8" s="47" t="s">
        <v>44</v>
      </c>
      <c r="B8" s="33">
        <f>'Model-1-Low'!$V$71/1000000</f>
        <v>75</v>
      </c>
      <c r="C8" s="33">
        <f>'ReinvestNon-Bank-High'!$V$75/1000000</f>
        <v>82.5</v>
      </c>
      <c r="D8" s="33">
        <f>'Model-1-Low'!$V$118/1000000</f>
        <v>-1.3000019292712388</v>
      </c>
      <c r="E8" s="33">
        <f>'ReinvestNon-Bank-High'!$V$118/1000000</f>
        <v>-3.2268778939068583</v>
      </c>
      <c r="G8" s="25" t="s">
        <v>230</v>
      </c>
      <c r="H8" s="272">
        <f>'Model-1-Trends'!K12</f>
        <v>49.5</v>
      </c>
      <c r="I8" s="273"/>
      <c r="J8" s="272">
        <f>'Model-1-Trends'!W17</f>
        <v>165</v>
      </c>
    </row>
    <row r="9" spans="1:10">
      <c r="A9" s="47" t="s">
        <v>45</v>
      </c>
      <c r="B9" s="33">
        <f>'Model-1-Low'!$W$71/1000000</f>
        <v>125</v>
      </c>
      <c r="C9" s="33">
        <f>'ReinvestNon-Bank-High'!$W$75/1000000</f>
        <v>137.5</v>
      </c>
      <c r="D9" s="33">
        <f>'Model-1-Low'!$W$118/1000000</f>
        <v>-0.83333654878539731</v>
      </c>
      <c r="E9" s="33">
        <f>'ReinvestNon-Bank-High'!$W$118/1000000</f>
        <v>-3.3781298231780976</v>
      </c>
      <c r="G9" s="25" t="s">
        <v>231</v>
      </c>
      <c r="H9" s="274">
        <f>'Model-1-Trends'!K11</f>
        <v>-3.8000115756274311</v>
      </c>
      <c r="I9" s="273" t="s">
        <v>232</v>
      </c>
      <c r="J9" s="272">
        <f>'Model-1-Trends'!W16</f>
        <v>-13.440606579653743</v>
      </c>
    </row>
    <row r="10" spans="1:10">
      <c r="A10" s="47" t="s">
        <v>46</v>
      </c>
      <c r="B10" s="33">
        <f>'Model-1-Low'!$X$71/1000000</f>
        <v>200</v>
      </c>
      <c r="C10" s="33">
        <f>'ReinvestNon-Bank-High'!$X$75/1000000</f>
        <v>220</v>
      </c>
      <c r="D10" s="33">
        <f>'Model-1-Low'!$X$118/1000000</f>
        <v>-0.13333847805663665</v>
      </c>
      <c r="E10" s="33">
        <f>'ReinvestNon-Bank-High'!$X$118/1000000</f>
        <v>-3.6050077170849555</v>
      </c>
      <c r="H10" s="270"/>
      <c r="I10" s="270"/>
    </row>
    <row r="11" spans="1:10">
      <c r="A11" s="47" t="s">
        <v>47</v>
      </c>
      <c r="B11" s="33">
        <f>'Model-1-Low'!$Y$71/1000000</f>
        <v>300</v>
      </c>
      <c r="C11" s="33">
        <f>'ReinvestNon-Bank-High'!$Y$75/1000000</f>
        <v>330</v>
      </c>
      <c r="D11" s="33">
        <f>'Model-1-Low'!$Y$118/1000000</f>
        <v>0.79999228291504454</v>
      </c>
      <c r="E11" s="33">
        <f>'ReinvestNon-Bank-High'!$Y$118/1000000</f>
        <v>-3.9075115756274332</v>
      </c>
      <c r="H11" s="270"/>
      <c r="I11" s="270"/>
    </row>
    <row r="12" spans="1:10">
      <c r="A12" s="47" t="s">
        <v>121</v>
      </c>
      <c r="B12" s="33">
        <f>'Model-1-Low'!$Z$71/1000000</f>
        <v>400</v>
      </c>
      <c r="C12" s="33">
        <f>'ReinvestNon-Bank-High'!$Z$75/1000000</f>
        <v>440</v>
      </c>
      <c r="D12" s="33">
        <f>'Model-1-Low'!$Z$118/1000000</f>
        <v>1.7333230438867266</v>
      </c>
      <c r="E12" s="33">
        <f>'ReinvestNon-Bank-High'!$Z$118/1000000</f>
        <v>-4.2100154341699101</v>
      </c>
      <c r="H12" s="270"/>
      <c r="I12" s="270"/>
    </row>
    <row r="13" spans="1:10">
      <c r="A13" s="47" t="s">
        <v>49</v>
      </c>
      <c r="B13" s="33">
        <f>'Model-1-Low'!$AA$71/1000000</f>
        <v>500</v>
      </c>
      <c r="C13" s="33">
        <f>'ReinvestNon-Bank-High'!$AA$75/1000000</f>
        <v>550</v>
      </c>
      <c r="D13" s="33">
        <f>'Model-1-Low'!$AA$118/1000000</f>
        <v>2.4849345725405971</v>
      </c>
      <c r="E13" s="33">
        <f>'ReinvestNon-Bank-High'!$AA$118/1000000</f>
        <v>-4.6200981411891027</v>
      </c>
    </row>
    <row r="14" spans="1:10">
      <c r="A14" s="47" t="s">
        <v>50</v>
      </c>
      <c r="B14" s="33">
        <f>'Model-1-Low'!$AB$71/1000000</f>
        <v>650</v>
      </c>
      <c r="C14" s="33">
        <f>'ReinvestNon-Bank-High'!$AB$75/1000000</f>
        <v>715</v>
      </c>
      <c r="D14" s="33">
        <f>'Model-1-Low'!$AB$118/1000000</f>
        <v>3.8304149443027766</v>
      </c>
      <c r="E14" s="33">
        <f>'ReinvestNon-Bank-High'!$AB$118/1000000</f>
        <v>-5.1061275835458328</v>
      </c>
    </row>
    <row r="15" spans="1:10">
      <c r="A15" s="47" t="s">
        <v>51</v>
      </c>
      <c r="B15" s="33">
        <f>'Model-1-Low'!$AC$71/1000000</f>
        <v>800</v>
      </c>
      <c r="C15" s="33">
        <f>'ReinvestNon-Bank-High'!$AC$75/1000000</f>
        <v>880</v>
      </c>
      <c r="D15" s="33">
        <f>'Model-1-Low'!$AC$118/1000000</f>
        <v>4.9820614682592934</v>
      </c>
      <c r="E15" s="33">
        <f>'ReinvestNon-Bank-High'!$AC$118/1000000</f>
        <v>-5.7069077976110583</v>
      </c>
    </row>
    <row r="16" spans="1:10">
      <c r="A16" s="47" t="s">
        <v>52</v>
      </c>
      <c r="B16" s="33">
        <f>'Model-1-Low'!$AD$71/1000000</f>
        <v>1000</v>
      </c>
      <c r="C16" s="33">
        <f>'ReinvestNon-Bank-High'!$AD$75/1000000</f>
        <v>1100</v>
      </c>
      <c r="D16" s="33">
        <f>'Model-1-Low'!$AD$118/1000000</f>
        <v>6.7275768353241183</v>
      </c>
      <c r="E16" s="33">
        <f>'ReinvestNon-Bank-High'!$AD$118/1000000</f>
        <v>-6.3836347470138239</v>
      </c>
    </row>
    <row r="17" spans="1:11">
      <c r="A17" s="48" t="s">
        <v>3</v>
      </c>
      <c r="B17" s="75"/>
      <c r="C17" s="75"/>
      <c r="D17" s="116">
        <f>SUM(D6:D16)</f>
        <v>11.758291571601124</v>
      </c>
      <c r="E17" s="116">
        <f>SUM(E6:E16)</f>
        <v>-50.795562642598313</v>
      </c>
    </row>
    <row r="18" spans="1:11">
      <c r="D18" s="67"/>
      <c r="E18" s="67"/>
    </row>
    <row r="19" spans="1:11" hidden="1">
      <c r="A19" s="3" t="s">
        <v>60</v>
      </c>
      <c r="B19" s="3"/>
      <c r="D19" s="87">
        <f>D17</f>
        <v>11.758291571601124</v>
      </c>
      <c r="E19" s="87">
        <f>E17</f>
        <v>-50.795562642598313</v>
      </c>
    </row>
    <row r="20" spans="1:11">
      <c r="A20" s="3" t="s">
        <v>62</v>
      </c>
      <c r="B20" s="3"/>
      <c r="C20" s="3"/>
      <c r="D20" s="87">
        <f>D64</f>
        <v>165</v>
      </c>
      <c r="E20" s="87">
        <f>D20</f>
        <v>165</v>
      </c>
    </row>
    <row r="21" spans="1:11" hidden="1">
      <c r="A21" s="3" t="s">
        <v>120</v>
      </c>
      <c r="B21" s="3"/>
      <c r="C21" s="3"/>
      <c r="D21" s="87">
        <f>SUM(D19:D20)</f>
        <v>176.75829157160112</v>
      </c>
      <c r="E21" s="87">
        <f>SUM(E19:E20)</f>
        <v>114.20443735740169</v>
      </c>
    </row>
    <row r="24" spans="1:11">
      <c r="A24" s="4" t="s">
        <v>245</v>
      </c>
      <c r="G24" s="55" t="s">
        <v>248</v>
      </c>
    </row>
    <row r="25" spans="1:11">
      <c r="A25" s="4"/>
    </row>
    <row r="26" spans="1:11" ht="68.099999999999994" customHeight="1">
      <c r="A26" s="5"/>
      <c r="B26" s="76" t="s">
        <v>124</v>
      </c>
      <c r="C26" s="76" t="s">
        <v>107</v>
      </c>
      <c r="D26" s="76" t="s">
        <v>127</v>
      </c>
      <c r="E26" s="76" t="s">
        <v>128</v>
      </c>
      <c r="G26" s="107"/>
      <c r="H26" s="275" t="s">
        <v>227</v>
      </c>
      <c r="I26" s="275" t="s">
        <v>136</v>
      </c>
      <c r="J26" s="275" t="s">
        <v>226</v>
      </c>
    </row>
    <row r="27" spans="1:11">
      <c r="A27" s="3" t="s">
        <v>141</v>
      </c>
      <c r="B27" s="77">
        <v>0</v>
      </c>
      <c r="C27" s="77">
        <v>0</v>
      </c>
      <c r="D27" s="33">
        <f>TRANSPOSE('Model-2-Low'!$T$120)/1000000</f>
        <v>-95</v>
      </c>
      <c r="E27" s="33">
        <f>TRANSPOSE('Model-2-High'!$T$120)/1000000</f>
        <v>-142.5</v>
      </c>
      <c r="G27" s="25" t="s">
        <v>225</v>
      </c>
      <c r="H27" s="270">
        <v>25</v>
      </c>
      <c r="I27" s="270">
        <v>37</v>
      </c>
      <c r="J27" s="270">
        <v>31</v>
      </c>
    </row>
    <row r="28" spans="1:11">
      <c r="A28" s="47" t="s">
        <v>43</v>
      </c>
      <c r="B28" s="33">
        <f>TRANSPOSE('Model-2-Low'!$U$71)/1000000</f>
        <v>50</v>
      </c>
      <c r="C28" s="33">
        <f>TRANSPOSE('Model-2-Low'!$U$75)/1000000</f>
        <v>55</v>
      </c>
      <c r="D28" s="33">
        <f>TRANSPOSE('Model-2-Low'!$U$120)/1000000</f>
        <v>-48.152000000000001</v>
      </c>
      <c r="E28" s="33">
        <f>TRANSPOSE('Model-2-High'!$U$120)/1000000</f>
        <v>-73.382999999999996</v>
      </c>
      <c r="G28" s="25" t="s">
        <v>229</v>
      </c>
      <c r="H28" s="270">
        <f>'Model-2-Trends'!F32</f>
        <v>2286.8209973525054</v>
      </c>
      <c r="I28" s="270">
        <f>'Model-2-Trends'!L44</f>
        <v>4106.8019545757343</v>
      </c>
      <c r="J28" s="270">
        <f>'Model-2-Trends'!R38</f>
        <v>3064.558849441808</v>
      </c>
    </row>
    <row r="29" spans="1:11">
      <c r="A29" s="47" t="s">
        <v>44</v>
      </c>
      <c r="B29" s="33">
        <f>'Model-2-Low'!$V$71/1000000</f>
        <v>75</v>
      </c>
      <c r="C29" s="33">
        <f>'Model-2-Low'!$V$75/1000000</f>
        <v>82.5</v>
      </c>
      <c r="D29" s="33">
        <f>'Model-2-Low'!$V$120/1000000</f>
        <v>-47.527999999999999</v>
      </c>
      <c r="E29" s="33">
        <f>'Model-2-High'!$V$120/1000000</f>
        <v>-72.874499999999998</v>
      </c>
      <c r="G29" s="25" t="s">
        <v>230</v>
      </c>
      <c r="H29" s="270">
        <f>'Model-2-Trends'!K32</f>
        <v>343.02314960287578</v>
      </c>
      <c r="I29" s="270">
        <f>'Model-2-Trends'!Q44</f>
        <v>616.02029318636016</v>
      </c>
      <c r="J29" s="270">
        <f>'Model-2-Trends'!W38</f>
        <v>459.68382741627119</v>
      </c>
    </row>
    <row r="30" spans="1:11">
      <c r="A30" s="47" t="s">
        <v>45</v>
      </c>
      <c r="B30" s="33">
        <f>'Model-2-Low'!$W$71/1000000</f>
        <v>125</v>
      </c>
      <c r="C30" s="33">
        <f>'Model-2-Low'!$W$75/1000000</f>
        <v>137.5</v>
      </c>
      <c r="D30" s="33">
        <f>'Model-2-Low'!$W$120/1000000</f>
        <v>-46.28</v>
      </c>
      <c r="E30" s="33">
        <f>'Model-2-High'!$W$120/1000000</f>
        <v>-71.857500000000002</v>
      </c>
      <c r="G30" s="25" t="s">
        <v>231</v>
      </c>
      <c r="H30" s="270">
        <f>'Model-2-Trends'!K31</f>
        <v>-579.77322081666546</v>
      </c>
      <c r="I30" s="270">
        <f>'Model-2-Trends'!Q43</f>
        <v>-1524.9972317534782</v>
      </c>
      <c r="J30" s="270">
        <f>'Model-2-Trends'!W37</f>
        <v>-993.09276291886954</v>
      </c>
      <c r="K30" s="270"/>
    </row>
    <row r="31" spans="1:11">
      <c r="A31" s="47" t="s">
        <v>46</v>
      </c>
      <c r="B31" s="33">
        <f>'Model-2-Low'!$X$71/1000000</f>
        <v>200</v>
      </c>
      <c r="C31" s="33">
        <f>'Model-2-Low'!$X$75/1000000</f>
        <v>220</v>
      </c>
      <c r="D31" s="33">
        <f>'Model-2-Low'!$X$120/1000000</f>
        <v>-44.408000000000001</v>
      </c>
      <c r="E31" s="33">
        <f>'Model-2-High'!$X$120/1000000</f>
        <v>-70.331999999999994</v>
      </c>
      <c r="I31" s="270"/>
      <c r="K31" s="270"/>
    </row>
    <row r="32" spans="1:11">
      <c r="A32" s="47" t="s">
        <v>47</v>
      </c>
      <c r="B32" s="33">
        <f>'Model-2-Low'!$Y$71/1000000</f>
        <v>300</v>
      </c>
      <c r="C32" s="33">
        <f>'Model-2-Low'!$Y$75/1000000</f>
        <v>330</v>
      </c>
      <c r="D32" s="33">
        <f>'Model-2-Low'!$Y$120/1000000</f>
        <v>-41.911999999999999</v>
      </c>
      <c r="E32" s="33">
        <f>'Model-2-High'!$Y$120/1000000</f>
        <v>-68.298000000000002</v>
      </c>
      <c r="H32" s="270"/>
      <c r="I32" s="270"/>
    </row>
    <row r="33" spans="1:9">
      <c r="A33" s="47" t="s">
        <v>121</v>
      </c>
      <c r="B33" s="33">
        <f>'Model-2-Low'!$Z$71/1000000</f>
        <v>400</v>
      </c>
      <c r="C33" s="33">
        <f>'Model-2-Low'!$Z$75/1000000</f>
        <v>440</v>
      </c>
      <c r="D33" s="33">
        <f>'Model-2-Low'!$Z$120/1000000</f>
        <v>-39.415999999999997</v>
      </c>
      <c r="E33" s="33">
        <f>'Model-2-High'!$Z$120/1000000</f>
        <v>-66.263999999999996</v>
      </c>
      <c r="H33" s="270"/>
      <c r="I33" s="270"/>
    </row>
    <row r="34" spans="1:9">
      <c r="A34" s="47" t="s">
        <v>49</v>
      </c>
      <c r="B34" s="33">
        <f>'Model-2-Low'!$AA$71/1000000</f>
        <v>500</v>
      </c>
      <c r="C34" s="33">
        <f>'Model-2-Low'!$AA$75/1000000</f>
        <v>550</v>
      </c>
      <c r="D34" s="33">
        <f>'Model-2-Low'!$AA$120/1000000</f>
        <v>-37.052</v>
      </c>
      <c r="E34" s="33">
        <f>'Model-2-High'!$AA$120/1000000</f>
        <v>-64.345500000000001</v>
      </c>
    </row>
    <row r="35" spans="1:9">
      <c r="A35" s="47" t="s">
        <v>50</v>
      </c>
      <c r="B35" s="33">
        <f>'Model-2-Low'!$AB$71/1000000</f>
        <v>650</v>
      </c>
      <c r="C35" s="33">
        <f>'Model-2-Low'!$AB$75/1000000</f>
        <v>715</v>
      </c>
      <c r="D35" s="33">
        <f>'Model-2-Low'!$AB$120/1000000</f>
        <v>-33.3476</v>
      </c>
      <c r="E35" s="33">
        <f>'Model-2-High'!$AB$120/1000000</f>
        <v>-61.329149999999998</v>
      </c>
    </row>
    <row r="36" spans="1:9" ht="15" customHeight="1">
      <c r="A36" s="47" t="s">
        <v>51</v>
      </c>
      <c r="B36" s="33">
        <f>'Model-2-Low'!$AC$71/1000000</f>
        <v>800</v>
      </c>
      <c r="C36" s="33">
        <f>'Model-2-Low'!$AC$75/1000000</f>
        <v>880</v>
      </c>
      <c r="D36" s="33">
        <f>'Model-2-Low'!$AC$120/1000000</f>
        <v>-29.783999999999999</v>
      </c>
      <c r="E36" s="33">
        <f>'Model-2-High'!$AC$120/1000000</f>
        <v>-58.436</v>
      </c>
    </row>
    <row r="37" spans="1:9">
      <c r="A37" s="47" t="s">
        <v>52</v>
      </c>
      <c r="B37" s="33">
        <f>'Model-2-Low'!$AD$71/1000000</f>
        <v>1000</v>
      </c>
      <c r="C37" s="33">
        <f>'Model-2-Low'!$AD$75/1000000</f>
        <v>1100</v>
      </c>
      <c r="D37" s="33">
        <f>'Model-2-Low'!$AD$120/1000000</f>
        <v>-24.88</v>
      </c>
      <c r="E37" s="33">
        <f>'Model-2-High'!$AD$120/1000000</f>
        <v>-54.445</v>
      </c>
    </row>
    <row r="38" spans="1:9">
      <c r="A38" s="48" t="s">
        <v>3</v>
      </c>
      <c r="B38" s="75"/>
      <c r="C38" s="75"/>
      <c r="D38" s="116">
        <f>SUM(D27:D37)</f>
        <v>-487.75959999999998</v>
      </c>
      <c r="E38" s="116">
        <f>SUM(E27:E37)</f>
        <v>-804.06465000000014</v>
      </c>
    </row>
    <row r="39" spans="1:9">
      <c r="D39" s="67"/>
      <c r="E39" s="67"/>
    </row>
    <row r="40" spans="1:9" hidden="1">
      <c r="A40" s="3" t="s">
        <v>60</v>
      </c>
      <c r="B40" s="3"/>
      <c r="D40" s="87">
        <f>D38</f>
        <v>-487.75959999999998</v>
      </c>
      <c r="E40" s="87">
        <f>E38</f>
        <v>-804.06465000000014</v>
      </c>
    </row>
    <row r="41" spans="1:9">
      <c r="A41" s="3" t="s">
        <v>62</v>
      </c>
      <c r="B41" s="3"/>
      <c r="C41" s="3"/>
      <c r="D41" s="87">
        <f>0.15*C37</f>
        <v>165</v>
      </c>
      <c r="E41" s="87">
        <f>D41</f>
        <v>165</v>
      </c>
    </row>
    <row r="42" spans="1:9" hidden="1">
      <c r="A42" t="s">
        <v>120</v>
      </c>
      <c r="D42" s="47">
        <f>SUM(D40:D41)</f>
        <v>-322.75959999999998</v>
      </c>
      <c r="E42" s="47">
        <f>SUM(E40:E41)</f>
        <v>-639.06465000000014</v>
      </c>
    </row>
    <row r="43" spans="1:9">
      <c r="A43" s="74"/>
      <c r="B43" s="3"/>
      <c r="C43" s="3"/>
      <c r="D43" s="3"/>
      <c r="E43" s="3"/>
    </row>
    <row r="44" spans="1:9" hidden="1">
      <c r="A44" t="s">
        <v>120</v>
      </c>
      <c r="D44" s="47" t="e">
        <f>SUM(#REF!)</f>
        <v>#REF!</v>
      </c>
      <c r="E44" s="47" t="e">
        <f>SUM(#REF!)</f>
        <v>#REF!</v>
      </c>
    </row>
    <row r="47" spans="1:9">
      <c r="A47" s="4" t="s">
        <v>246</v>
      </c>
      <c r="G47" s="279" t="s">
        <v>249</v>
      </c>
    </row>
    <row r="48" spans="1:9">
      <c r="A48" s="4"/>
    </row>
    <row r="49" spans="1:10" ht="69" customHeight="1">
      <c r="A49" s="5"/>
      <c r="B49" s="76" t="s">
        <v>124</v>
      </c>
      <c r="C49" s="76" t="s">
        <v>107</v>
      </c>
      <c r="D49" s="76" t="s">
        <v>127</v>
      </c>
      <c r="E49" s="76" t="s">
        <v>128</v>
      </c>
      <c r="G49" s="107"/>
      <c r="H49" s="275" t="s">
        <v>227</v>
      </c>
      <c r="I49" s="275" t="s">
        <v>136</v>
      </c>
      <c r="J49" s="275" t="s">
        <v>226</v>
      </c>
    </row>
    <row r="50" spans="1:10">
      <c r="A50" s="3" t="s">
        <v>141</v>
      </c>
      <c r="B50" s="32">
        <f>B27</f>
        <v>0</v>
      </c>
      <c r="C50" s="32">
        <f>C27</f>
        <v>0</v>
      </c>
      <c r="D50" s="47">
        <f>TRANSPOSE('Model-3-Low'!$T$120)/1000000</f>
        <v>-95</v>
      </c>
      <c r="E50" s="47">
        <f>TRANSPOSE('Combined-High'!$T$120)/1000000</f>
        <v>-142.5</v>
      </c>
      <c r="G50" s="25" t="s">
        <v>225</v>
      </c>
      <c r="H50" s="276">
        <v>36</v>
      </c>
      <c r="I50" s="272" t="s">
        <v>228</v>
      </c>
      <c r="J50" s="270">
        <v>56</v>
      </c>
    </row>
    <row r="51" spans="1:10">
      <c r="A51" s="47" t="s">
        <v>43</v>
      </c>
      <c r="B51" s="264">
        <f>TRANSPOSE('Model-3-Low'!$U$71)/1000000</f>
        <v>50</v>
      </c>
      <c r="C51" s="264">
        <f>TRANSPOSE('Model-3-Low'!$U$75)/1000000</f>
        <v>55</v>
      </c>
      <c r="D51" s="47">
        <f>TRANSPOSE('Model-3-Low'!$U$120)/1000000</f>
        <v>-48.691042309757073</v>
      </c>
      <c r="E51" s="47">
        <f>TRANSPOSE('Combined-High'!$U$120)/1000000</f>
        <v>-74.407813464635609</v>
      </c>
      <c r="G51" s="25" t="s">
        <v>229</v>
      </c>
      <c r="H51" s="276">
        <f>'Model-3-Trends'!F43</f>
        <v>3911.2399567387943</v>
      </c>
      <c r="I51" s="273"/>
      <c r="J51" s="270">
        <f>'Model-3-Trends'!R63</f>
        <v>10377.684001484211</v>
      </c>
    </row>
    <row r="52" spans="1:10">
      <c r="A52" s="47" t="s">
        <v>44</v>
      </c>
      <c r="B52" s="264">
        <f>'Model-3-Low'!$V$71/1000000</f>
        <v>75</v>
      </c>
      <c r="C52" s="264">
        <f>'Model-3-Low'!$V$75/1000000</f>
        <v>82.5</v>
      </c>
      <c r="D52" s="47">
        <f>'Model-3-Low'!$V$120/1000000</f>
        <v>-48.336563464635617</v>
      </c>
      <c r="E52" s="47">
        <f>'Combined-High'!$V$120/1000000</f>
        <v>-74.411720196953425</v>
      </c>
      <c r="G52" s="25" t="s">
        <v>230</v>
      </c>
      <c r="H52" s="276">
        <f>'Model-3-Trends'!K43</f>
        <v>586.68599351081912</v>
      </c>
      <c r="I52" s="273"/>
      <c r="J52" s="270">
        <f>'Model-3-Trends'!W63</f>
        <v>1556.6526002226317</v>
      </c>
    </row>
    <row r="53" spans="1:10">
      <c r="A53" s="47" t="s">
        <v>45</v>
      </c>
      <c r="B53" s="264">
        <f>'Model-3-Low'!$W$71/1000000</f>
        <v>125</v>
      </c>
      <c r="C53" s="264">
        <f>'Model-3-Low'!$W$75/1000000</f>
        <v>137.5</v>
      </c>
      <c r="D53" s="47">
        <f>'Model-3-Low'!$W$120/1000000</f>
        <v>-47.627605774392698</v>
      </c>
      <c r="E53" s="47">
        <f>'Combined-High'!$W$120/1000000</f>
        <v>-74.419533661589057</v>
      </c>
      <c r="G53" s="25" t="s">
        <v>231</v>
      </c>
      <c r="H53" s="276">
        <f>'Model-3-Trends'!K42</f>
        <v>-976.23086625071096</v>
      </c>
      <c r="I53" s="273" t="s">
        <v>233</v>
      </c>
      <c r="J53" s="270">
        <f>'Model-3-Trends'!W62</f>
        <v>-2241.0643680632934</v>
      </c>
    </row>
    <row r="54" spans="1:10">
      <c r="A54" s="47" t="s">
        <v>46</v>
      </c>
      <c r="B54" s="264">
        <f>'Model-3-Low'!$X$71/1000000</f>
        <v>200</v>
      </c>
      <c r="C54" s="264">
        <f>'Model-3-Low'!$X$75/1000000</f>
        <v>220</v>
      </c>
      <c r="D54" s="47">
        <f>'Model-3-Low'!$X$120/1000000</f>
        <v>-46.564169239028317</v>
      </c>
      <c r="E54" s="47">
        <f>'Combined-High'!$X$120/1000000</f>
        <v>-74.431253858542476</v>
      </c>
      <c r="H54" s="271"/>
      <c r="I54" s="271"/>
    </row>
    <row r="55" spans="1:10">
      <c r="A55" s="47" t="s">
        <v>47</v>
      </c>
      <c r="B55" s="264">
        <f>'Model-3-Low'!$Y$71/1000000</f>
        <v>300</v>
      </c>
      <c r="C55" s="264">
        <f>'Model-3-Low'!$Y$75/1000000</f>
        <v>330</v>
      </c>
      <c r="D55" s="47">
        <f>'Model-3-Low'!$Y$120/1000000</f>
        <v>-45.14625385854248</v>
      </c>
      <c r="E55" s="47">
        <f>'Combined-High'!$Y$120/1000000</f>
        <v>-74.446880787813726</v>
      </c>
      <c r="H55" s="271"/>
      <c r="I55" s="271"/>
    </row>
    <row r="56" spans="1:10">
      <c r="A56" s="47" t="s">
        <v>121</v>
      </c>
      <c r="B56" s="264">
        <f>'Model-3-Low'!$Z$71/1000000</f>
        <v>400</v>
      </c>
      <c r="C56" s="264">
        <f>'Model-3-Low'!$Z$75/1000000</f>
        <v>440</v>
      </c>
      <c r="D56" s="47">
        <f>'Model-3-Low'!$Z$120/1000000</f>
        <v>-43.728338478056642</v>
      </c>
      <c r="E56" s="47">
        <f>'Combined-High'!$Z$120/1000000</f>
        <v>-74.462507717084947</v>
      </c>
      <c r="H56" s="271"/>
      <c r="I56" s="271"/>
    </row>
    <row r="57" spans="1:10">
      <c r="A57" s="47" t="s">
        <v>49</v>
      </c>
      <c r="B57" s="264">
        <f>'Model-3-Low'!$AA$71/1000000</f>
        <v>500</v>
      </c>
      <c r="C57" s="264">
        <f>'Model-3-Low'!$AA$75/1000000</f>
        <v>550</v>
      </c>
      <c r="D57" s="47">
        <f>'Model-3-Low'!$AA$120/1000000</f>
        <v>-42.401282713729699</v>
      </c>
      <c r="E57" s="47">
        <f>'Combined-High'!$AA$120/1000000</f>
        <v>-74.531924070594556</v>
      </c>
    </row>
    <row r="58" spans="1:10">
      <c r="A58" s="47" t="s">
        <v>50</v>
      </c>
      <c r="B58" s="264">
        <f>'Model-3-Low'!$AB$71/1000000</f>
        <v>650</v>
      </c>
      <c r="C58" s="264">
        <f>'Model-3-Low'!$AB$75/1000000</f>
        <v>715</v>
      </c>
      <c r="D58" s="47">
        <f>'Model-3-Low'!$AB$120/1000000</f>
        <v>-40.301667527848608</v>
      </c>
      <c r="E58" s="47">
        <f>'Combined-High'!$AB$120/1000000</f>
        <v>-74.571501291772918</v>
      </c>
    </row>
    <row r="59" spans="1:10">
      <c r="A59" s="47" t="s">
        <v>51</v>
      </c>
      <c r="B59" s="264">
        <f>'Model-3-Low'!$AC$71/1000000</f>
        <v>800</v>
      </c>
      <c r="C59" s="264">
        <f>'Model-3-Low'!$AC$75/1000000</f>
        <v>880</v>
      </c>
      <c r="D59" s="47">
        <f>'Model-3-Low'!$AC$120/1000000</f>
        <v>-38.298969265870355</v>
      </c>
      <c r="E59" s="47">
        <f>'Combined-High'!$AC$120/1000000</f>
        <v>-74.668453898805524</v>
      </c>
    </row>
    <row r="60" spans="1:10">
      <c r="A60" s="47" t="s">
        <v>52</v>
      </c>
      <c r="B60" s="264">
        <f>'Model-3-Low'!$AD$71/1000000</f>
        <v>1000</v>
      </c>
      <c r="C60" s="264">
        <f>'Model-3-Low'!$AD$75/1000000</f>
        <v>1100</v>
      </c>
      <c r="D60" s="47">
        <f>'Model-3-Low'!$AD$120/1000000</f>
        <v>-35.523711582337945</v>
      </c>
      <c r="E60" s="47">
        <f>'Combined-High'!$AD$120/1000000</f>
        <v>-74.73556737350691</v>
      </c>
    </row>
    <row r="61" spans="1:10">
      <c r="A61" s="48" t="s">
        <v>3</v>
      </c>
      <c r="B61" s="75"/>
      <c r="C61" s="75"/>
      <c r="D61" s="116">
        <f>SUM(D50:D60)</f>
        <v>-531.6196042141994</v>
      </c>
      <c r="E61" s="116">
        <f>SUM(E50:E60)</f>
        <v>-887.58715632129918</v>
      </c>
    </row>
    <row r="62" spans="1:10" ht="16.5" customHeight="1">
      <c r="D62" s="67"/>
      <c r="E62" s="67"/>
    </row>
    <row r="63" spans="1:10" hidden="1">
      <c r="A63" s="3" t="s">
        <v>60</v>
      </c>
      <c r="B63" s="3"/>
      <c r="D63" s="87">
        <f>D61</f>
        <v>-531.6196042141994</v>
      </c>
      <c r="E63" s="87">
        <f>E61</f>
        <v>-887.58715632129918</v>
      </c>
    </row>
    <row r="64" spans="1:10">
      <c r="A64" s="3" t="s">
        <v>62</v>
      </c>
      <c r="B64" s="3"/>
      <c r="C64" s="3"/>
      <c r="D64" s="87">
        <f>0.15*C60</f>
        <v>165</v>
      </c>
      <c r="E64" s="87">
        <f>D64</f>
        <v>165</v>
      </c>
    </row>
    <row r="65" spans="1:10" hidden="1">
      <c r="A65" t="s">
        <v>120</v>
      </c>
      <c r="D65" s="47">
        <f>SUM(D63:D64)</f>
        <v>-366.6196042141994</v>
      </c>
      <c r="E65" s="47">
        <f>SUM(E63:E64)</f>
        <v>-722.58715632129918</v>
      </c>
    </row>
    <row r="67" spans="1:10">
      <c r="A67" s="4"/>
      <c r="G67" s="279" t="s">
        <v>250</v>
      </c>
    </row>
    <row r="69" spans="1:10">
      <c r="G69" s="25" t="s">
        <v>236</v>
      </c>
      <c r="H69" s="269" t="s">
        <v>239</v>
      </c>
      <c r="I69" s="269" t="s">
        <v>240</v>
      </c>
      <c r="J69" s="269" t="s">
        <v>241</v>
      </c>
    </row>
    <row r="70" spans="1:10">
      <c r="G70" s="25" t="s">
        <v>234</v>
      </c>
      <c r="H70" s="270">
        <f>J6</f>
        <v>10</v>
      </c>
      <c r="I70" s="270">
        <f>J27</f>
        <v>31</v>
      </c>
      <c r="J70" s="270">
        <f>J50</f>
        <v>56</v>
      </c>
    </row>
    <row r="71" spans="1:10">
      <c r="G71" s="25" t="s">
        <v>237</v>
      </c>
      <c r="H71" s="272">
        <f>J7</f>
        <v>1100</v>
      </c>
      <c r="I71" s="270">
        <f>J28</f>
        <v>3064.558849441808</v>
      </c>
      <c r="J71" s="270">
        <f>J51</f>
        <v>10377.684001484211</v>
      </c>
    </row>
    <row r="72" spans="1:10">
      <c r="G72" s="25" t="s">
        <v>235</v>
      </c>
      <c r="H72" s="270">
        <f>AVERAGE(D6:E6)*-1</f>
        <v>6.25</v>
      </c>
      <c r="I72" s="270">
        <f>AVERAGE(D27:E27)*-1</f>
        <v>118.75</v>
      </c>
      <c r="J72" s="270">
        <f>AVERAGE(D50:E50)*-1</f>
        <v>118.75</v>
      </c>
    </row>
    <row r="73" spans="1:10">
      <c r="G73" s="25" t="s">
        <v>238</v>
      </c>
      <c r="H73" s="272">
        <f>J9*-1</f>
        <v>13.440606579653743</v>
      </c>
      <c r="I73" s="270">
        <f>J30*-1</f>
        <v>993.09276291886954</v>
      </c>
      <c r="J73" s="270">
        <f>J53*-1</f>
        <v>2241.0643680632934</v>
      </c>
    </row>
    <row r="74" spans="1:10">
      <c r="G74" s="25" t="s">
        <v>26</v>
      </c>
      <c r="H74" s="272">
        <f>J8</f>
        <v>165</v>
      </c>
      <c r="I74" s="270">
        <f>J29</f>
        <v>459.68382741627119</v>
      </c>
      <c r="J74" s="270">
        <f>J52</f>
        <v>1556.6526002226317</v>
      </c>
    </row>
    <row r="75" spans="1:10">
      <c r="G75" s="25" t="s">
        <v>100</v>
      </c>
      <c r="H75" s="270">
        <f>SUM(H72:H74)</f>
        <v>184.69060657965375</v>
      </c>
      <c r="I75" s="270">
        <f>SUM(I72:I74)</f>
        <v>1571.5265903351408</v>
      </c>
      <c r="J75" s="270">
        <f>SUM(J72:J74)</f>
        <v>3916.4669682859248</v>
      </c>
    </row>
  </sheetData>
  <pageMargins left="0.7" right="0.7" top="0.25" bottom="0.25" header="0.05" footer="0.05"/>
  <pageSetup scale="43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11D0D-9A45-5E4A-9486-8B819DB37830}">
  <sheetPr>
    <tabColor rgb="FF00B050"/>
    <pageSetUpPr fitToPage="1"/>
  </sheetPr>
  <dimension ref="A1:X72"/>
  <sheetViews>
    <sheetView view="pageBreakPreview" topLeftCell="A55" zoomScale="88" zoomScaleNormal="100" zoomScaleSheetLayoutView="88" workbookViewId="0">
      <selection activeCell="A57" sqref="A57:XFD57"/>
    </sheetView>
  </sheetViews>
  <sheetFormatPr defaultColWidth="11" defaultRowHeight="15.75" outlineLevelCol="1"/>
  <cols>
    <col min="1" max="1" width="13.125" customWidth="1" outlineLevel="1"/>
    <col min="2" max="2" width="9.125" customWidth="1" outlineLevel="1"/>
    <col min="3" max="5" width="11" customWidth="1" outlineLevel="1"/>
    <col min="21" max="24" width="11" customWidth="1" outlineLevel="1"/>
  </cols>
  <sheetData>
    <row r="1" spans="1:23" ht="18.75">
      <c r="A1" s="145" t="s">
        <v>252</v>
      </c>
    </row>
    <row r="2" spans="1:23" ht="18.75">
      <c r="F2" s="145"/>
    </row>
    <row r="3" spans="1:23">
      <c r="A3" t="s">
        <v>251</v>
      </c>
      <c r="B3" s="236">
        <v>0.05</v>
      </c>
    </row>
    <row r="4" spans="1:23" ht="18.75">
      <c r="F4" s="145"/>
    </row>
    <row r="5" spans="1:23">
      <c r="F5" s="4" t="s">
        <v>146</v>
      </c>
      <c r="L5" s="4" t="s">
        <v>147</v>
      </c>
      <c r="R5" s="4" t="s">
        <v>145</v>
      </c>
    </row>
    <row r="6" spans="1:23">
      <c r="F6" s="8"/>
      <c r="L6" s="8"/>
      <c r="R6" s="8"/>
      <c r="T6" s="8"/>
    </row>
    <row r="7" spans="1:23">
      <c r="D7" s="32" t="s">
        <v>140</v>
      </c>
      <c r="F7" t="s">
        <v>2</v>
      </c>
      <c r="G7" t="s">
        <v>139</v>
      </c>
      <c r="H7" t="s">
        <v>132</v>
      </c>
      <c r="I7" t="s">
        <v>58</v>
      </c>
      <c r="J7" t="s">
        <v>144</v>
      </c>
      <c r="L7" t="s">
        <v>2</v>
      </c>
      <c r="M7" t="s">
        <v>139</v>
      </c>
      <c r="N7" t="s">
        <v>132</v>
      </c>
      <c r="O7" t="s">
        <v>58</v>
      </c>
      <c r="P7" t="s">
        <v>144</v>
      </c>
      <c r="R7" t="s">
        <v>2</v>
      </c>
      <c r="S7" t="s">
        <v>139</v>
      </c>
      <c r="T7" t="s">
        <v>132</v>
      </c>
      <c r="U7" t="s">
        <v>58</v>
      </c>
      <c r="V7" t="s">
        <v>144</v>
      </c>
    </row>
    <row r="8" spans="1:23" s="33" customFormat="1">
      <c r="D8" s="33">
        <v>1</v>
      </c>
      <c r="F8" s="33">
        <f>'Model-1-Low'!$U$75/1000000</f>
        <v>55</v>
      </c>
      <c r="G8" s="33">
        <f>'Model-1-Low'!$U$71/1000000</f>
        <v>50</v>
      </c>
      <c r="H8" s="33">
        <f>'Model-1-Low'!$U$108/1000000</f>
        <v>1.07125</v>
      </c>
      <c r="I8" s="33">
        <f>'Model-1-Low'!$U$116/1000000*-1</f>
        <v>2.6045846195141591</v>
      </c>
      <c r="J8" s="33">
        <f>H8-I8</f>
        <v>-1.5333346195141591</v>
      </c>
      <c r="L8" s="33">
        <f>'ReinvestNon-Bank-High'!$U$75/1000000</f>
        <v>55</v>
      </c>
      <c r="M8" s="33">
        <f>'ReinvestNon-Bank-High'!$U$71/1000000</f>
        <v>50</v>
      </c>
      <c r="N8" s="33">
        <f>'ReinvestNon-Bank-High'!$U$108/1000000</f>
        <v>0.42749999999999999</v>
      </c>
      <c r="O8" s="33">
        <f>'ReinvestNon-Bank-High'!$U$116/1000000*-1</f>
        <v>3.5787519292712386</v>
      </c>
      <c r="P8" s="33">
        <f>N8-O8</f>
        <v>-3.1512519292712389</v>
      </c>
      <c r="R8" s="33">
        <f t="shared" ref="R8:R39" si="0">AVERAGE(F8,L8)</f>
        <v>55</v>
      </c>
      <c r="S8" s="33">
        <f t="shared" ref="S8:S39" si="1">AVERAGE(G8,M8)</f>
        <v>50</v>
      </c>
      <c r="T8" s="33">
        <f t="shared" ref="T8:T39" si="2">AVERAGE(H8,N8)</f>
        <v>0.74937500000000001</v>
      </c>
      <c r="U8" s="33">
        <f t="shared" ref="U8:U39" si="3">AVERAGE(I8,O8)</f>
        <v>3.0916682743926991</v>
      </c>
      <c r="V8" s="33">
        <f>T8-U8</f>
        <v>-2.342293274392699</v>
      </c>
    </row>
    <row r="9" spans="1:23" s="33" customFormat="1">
      <c r="D9" s="33">
        <v>2</v>
      </c>
      <c r="F9" s="33">
        <f>'Model-1-Low'!$V$75/1000000</f>
        <v>82.5</v>
      </c>
      <c r="G9" s="33">
        <f>'Model-1-Low'!$V$71/1000000</f>
        <v>75</v>
      </c>
      <c r="H9" s="33">
        <f>'Model-1-Low'!$V$108/1000000</f>
        <v>1.6068750000000001</v>
      </c>
      <c r="I9" s="33">
        <f>'Model-1-Low'!$V$116/1000000*-1</f>
        <v>2.9068769292712386</v>
      </c>
      <c r="J9" s="33">
        <f t="shared" ref="J9:J67" si="4">H9-I9</f>
        <v>-1.3000019292712386</v>
      </c>
      <c r="L9" s="33">
        <f>'ReinvestNon-Bank-High'!$V$75/1000000</f>
        <v>82.5</v>
      </c>
      <c r="M9" s="33">
        <f>'ReinvestNon-Bank-High'!$V$71/1000000</f>
        <v>75</v>
      </c>
      <c r="N9" s="33">
        <f>'ReinvestNon-Bank-High'!$V$108/1000000</f>
        <v>0.64124999999999999</v>
      </c>
      <c r="O9" s="33">
        <f>'ReinvestNon-Bank-High'!$V$116/1000000*-1</f>
        <v>3.8681278939068582</v>
      </c>
      <c r="P9" s="33">
        <f t="shared" ref="P9:P67" si="5">N9-O9</f>
        <v>-3.2268778939068583</v>
      </c>
      <c r="R9" s="33">
        <f t="shared" si="0"/>
        <v>82.5</v>
      </c>
      <c r="S9" s="33">
        <f t="shared" si="1"/>
        <v>75</v>
      </c>
      <c r="T9" s="33">
        <f t="shared" si="2"/>
        <v>1.1240625</v>
      </c>
      <c r="U9" s="33">
        <f t="shared" si="3"/>
        <v>3.3875024115890486</v>
      </c>
      <c r="V9" s="33">
        <f t="shared" ref="V9:V67" si="6">T9-U9</f>
        <v>-2.2634399115890487</v>
      </c>
    </row>
    <row r="10" spans="1:23" s="33" customFormat="1">
      <c r="D10" s="33">
        <v>3</v>
      </c>
      <c r="F10" s="33">
        <f>'Model-1-Low'!$W$75/1000000</f>
        <v>137.5</v>
      </c>
      <c r="G10" s="33">
        <f>'Model-1-Low'!$W$71/1000000</f>
        <v>125</v>
      </c>
      <c r="H10" s="33">
        <f>'Model-1-Low'!$W$108/1000000</f>
        <v>2.6781250000000005</v>
      </c>
      <c r="I10" s="33">
        <f>'Model-1-Low'!$W$116/1000000*-1</f>
        <v>3.5114615487853977</v>
      </c>
      <c r="J10" s="33">
        <f t="shared" si="4"/>
        <v>-0.8333365487853972</v>
      </c>
      <c r="L10" s="33">
        <f>'ReinvestNon-Bank-High'!$W$75/1000000</f>
        <v>137.5</v>
      </c>
      <c r="M10" s="33">
        <f>'ReinvestNon-Bank-High'!$W$71/1000000</f>
        <v>125</v>
      </c>
      <c r="N10" s="33">
        <f>'ReinvestNon-Bank-High'!$W$108/1000000</f>
        <v>1.0687500000000003</v>
      </c>
      <c r="O10" s="33">
        <f>'ReinvestNon-Bank-High'!$W$116/1000000*-1</f>
        <v>4.4468798231780973</v>
      </c>
      <c r="P10" s="33">
        <f t="shared" si="5"/>
        <v>-3.3781298231780967</v>
      </c>
      <c r="R10" s="33">
        <f t="shared" si="0"/>
        <v>137.5</v>
      </c>
      <c r="S10" s="33">
        <f t="shared" si="1"/>
        <v>125</v>
      </c>
      <c r="T10" s="33">
        <f t="shared" si="2"/>
        <v>1.8734375000000005</v>
      </c>
      <c r="U10" s="33">
        <f t="shared" si="3"/>
        <v>3.9791706859817477</v>
      </c>
      <c r="V10" s="33">
        <f t="shared" si="6"/>
        <v>-2.1057331859817472</v>
      </c>
    </row>
    <row r="11" spans="1:23" s="33" customFormat="1">
      <c r="D11" s="138">
        <v>4</v>
      </c>
      <c r="F11" s="33">
        <f>'Model-1-Low'!$X$75/1000000</f>
        <v>220</v>
      </c>
      <c r="G11" s="33">
        <f>'Model-1-Low'!$X$71/1000000</f>
        <v>200</v>
      </c>
      <c r="H11" s="33">
        <f>'Model-1-Low'!$X$108/1000000</f>
        <v>4.2850000000000001</v>
      </c>
      <c r="I11" s="33">
        <f>'Model-1-Low'!$X$116/1000000*-1</f>
        <v>4.4183384780566364</v>
      </c>
      <c r="J11" s="33">
        <f t="shared" si="4"/>
        <v>-0.13333847805663623</v>
      </c>
      <c r="K11" s="33">
        <f>SUM(J8:J11)</f>
        <v>-3.8000115756274311</v>
      </c>
      <c r="L11" s="33">
        <f>'ReinvestNon-Bank-High'!$X$75/1000000</f>
        <v>220</v>
      </c>
      <c r="M11" s="33">
        <f>'ReinvestNon-Bank-High'!$X$71/1000000</f>
        <v>200</v>
      </c>
      <c r="N11" s="33">
        <f>'ReinvestNon-Bank-High'!$X$108/1000000</f>
        <v>1.71</v>
      </c>
      <c r="O11" s="33">
        <f>'ReinvestNon-Bank-High'!$X$116/1000000*-1</f>
        <v>5.3150077170849555</v>
      </c>
      <c r="P11" s="33">
        <f t="shared" si="5"/>
        <v>-3.6050077170849555</v>
      </c>
      <c r="R11" s="33">
        <f t="shared" si="0"/>
        <v>220</v>
      </c>
      <c r="S11" s="33">
        <f t="shared" si="1"/>
        <v>200</v>
      </c>
      <c r="T11" s="33">
        <f t="shared" si="2"/>
        <v>2.9975000000000001</v>
      </c>
      <c r="U11" s="33">
        <f t="shared" si="3"/>
        <v>4.8666730975707964</v>
      </c>
      <c r="V11" s="33">
        <f t="shared" si="6"/>
        <v>-1.8691730975707963</v>
      </c>
    </row>
    <row r="12" spans="1:23" s="33" customFormat="1">
      <c r="D12" s="33">
        <v>5</v>
      </c>
      <c r="F12" s="33">
        <f>'Model-1-Low'!$Y$75/1000000</f>
        <v>330</v>
      </c>
      <c r="G12" s="33">
        <f>'Model-1-Low'!$Y$71/1000000</f>
        <v>300</v>
      </c>
      <c r="H12" s="33">
        <f>'Model-1-Low'!$Y$108/1000000</f>
        <v>6.4275000000000002</v>
      </c>
      <c r="I12" s="33">
        <f>'Model-1-Low'!$Y$116/1000000*-1</f>
        <v>5.6275077170849555</v>
      </c>
      <c r="J12" s="33">
        <f t="shared" si="4"/>
        <v>0.79999228291504476</v>
      </c>
      <c r="K12" s="33">
        <f>F12*0.15</f>
        <v>49.5</v>
      </c>
      <c r="L12" s="33">
        <f>'ReinvestNon-Bank-High'!$Y$75/1000000</f>
        <v>330</v>
      </c>
      <c r="M12" s="33">
        <f>'ReinvestNon-Bank-High'!$Y$71/1000000</f>
        <v>300</v>
      </c>
      <c r="N12" s="33">
        <f>'ReinvestNon-Bank-High'!$Y$108/1000000</f>
        <v>2.5649999999999999</v>
      </c>
      <c r="O12" s="33">
        <f>'ReinvestNon-Bank-High'!$Y$116/1000000*-1</f>
        <v>6.4725115756274327</v>
      </c>
      <c r="P12" s="33">
        <f t="shared" si="5"/>
        <v>-3.9075115756274328</v>
      </c>
      <c r="R12" s="33">
        <f t="shared" si="0"/>
        <v>330</v>
      </c>
      <c r="S12" s="33">
        <f t="shared" si="1"/>
        <v>300</v>
      </c>
      <c r="T12" s="33">
        <f t="shared" si="2"/>
        <v>4.4962499999999999</v>
      </c>
      <c r="U12" s="33">
        <f t="shared" si="3"/>
        <v>6.0500096463561945</v>
      </c>
      <c r="V12" s="33">
        <f t="shared" si="6"/>
        <v>-1.5537596463561947</v>
      </c>
    </row>
    <row r="13" spans="1:23" s="33" customFormat="1">
      <c r="D13" s="33">
        <v>6</v>
      </c>
      <c r="F13" s="33">
        <f>'Model-1-Low'!$Z$75/1000000</f>
        <v>440</v>
      </c>
      <c r="G13" s="33">
        <f>'Model-1-Low'!$Z$71/1000000</f>
        <v>400</v>
      </c>
      <c r="H13" s="33">
        <f>'Model-1-Low'!$Z$108/1000000</f>
        <v>8.57</v>
      </c>
      <c r="I13" s="33">
        <f>'Model-1-Low'!$Z$116/1000000*-1</f>
        <v>6.8366769561132736</v>
      </c>
      <c r="J13" s="33">
        <f t="shared" si="4"/>
        <v>1.7333230438867266</v>
      </c>
      <c r="L13" s="33">
        <f>'ReinvestNon-Bank-High'!$Z$75/1000000</f>
        <v>440</v>
      </c>
      <c r="M13" s="33">
        <f>'ReinvestNon-Bank-High'!$Z$71/1000000</f>
        <v>400</v>
      </c>
      <c r="N13" s="33">
        <f>'ReinvestNon-Bank-High'!$Z$108/1000000</f>
        <v>3.42</v>
      </c>
      <c r="O13" s="33">
        <f>'ReinvestNon-Bank-High'!$Z$116/1000000*-1</f>
        <v>7.63001543416991</v>
      </c>
      <c r="P13" s="33">
        <f t="shared" si="5"/>
        <v>-4.2100154341699101</v>
      </c>
      <c r="R13" s="33">
        <f t="shared" si="0"/>
        <v>440</v>
      </c>
      <c r="S13" s="33">
        <f t="shared" si="1"/>
        <v>400</v>
      </c>
      <c r="T13" s="33">
        <f t="shared" si="2"/>
        <v>5.9950000000000001</v>
      </c>
      <c r="U13" s="33">
        <f t="shared" si="3"/>
        <v>7.2333461951415918</v>
      </c>
      <c r="V13" s="33">
        <f t="shared" si="6"/>
        <v>-1.2383461951415917</v>
      </c>
    </row>
    <row r="14" spans="1:23" s="33" customFormat="1">
      <c r="D14" s="33">
        <v>7</v>
      </c>
      <c r="F14" s="33">
        <f>'Model-1-Low'!$AA$75/1000000</f>
        <v>550</v>
      </c>
      <c r="G14" s="33">
        <f>'Model-1-Low'!$AA$71/1000000</f>
        <v>500</v>
      </c>
      <c r="H14" s="33">
        <f>'Model-1-Low'!$AA$108/1000000</f>
        <v>10.382499999999999</v>
      </c>
      <c r="I14" s="33">
        <f>'Model-1-Low'!$AA$116/1000000*-1</f>
        <v>7.8975654274594014</v>
      </c>
      <c r="J14" s="33">
        <f t="shared" si="4"/>
        <v>2.4849345725405971</v>
      </c>
      <c r="L14" s="33">
        <f>'ReinvestNon-Bank-High'!$AA$75/1000000</f>
        <v>550</v>
      </c>
      <c r="M14" s="33">
        <f>'ReinvestNon-Bank-High'!$AA$71/1000000</f>
        <v>500</v>
      </c>
      <c r="N14" s="33">
        <f>'ReinvestNon-Bank-High'!$AA$108/1000000</f>
        <v>3.944999999999999</v>
      </c>
      <c r="O14" s="33">
        <f>'ReinvestNon-Bank-High'!$AA$116/1000000*-1</f>
        <v>8.5650981411891021</v>
      </c>
      <c r="P14" s="33">
        <f t="shared" si="5"/>
        <v>-4.6200981411891036</v>
      </c>
      <c r="R14" s="33">
        <f t="shared" si="0"/>
        <v>550</v>
      </c>
      <c r="S14" s="33">
        <f t="shared" si="1"/>
        <v>500</v>
      </c>
      <c r="T14" s="33">
        <f t="shared" si="2"/>
        <v>7.1637499999999985</v>
      </c>
      <c r="U14" s="33">
        <f t="shared" si="3"/>
        <v>8.2313317843242508</v>
      </c>
      <c r="V14" s="33">
        <f t="shared" si="6"/>
        <v>-1.0675817843242523</v>
      </c>
    </row>
    <row r="15" spans="1:23" s="33" customFormat="1">
      <c r="D15" s="33">
        <v>8</v>
      </c>
      <c r="F15" s="33">
        <f>'Model-1-Low'!$AB$75/1000000</f>
        <v>715</v>
      </c>
      <c r="G15" s="33">
        <f>'Model-1-Low'!$AB$71/1000000</f>
        <v>650</v>
      </c>
      <c r="H15" s="33">
        <f>'Model-1-Low'!$AB$108/1000000</f>
        <v>13.497249999999998</v>
      </c>
      <c r="I15" s="33">
        <f>'Model-1-Low'!$AB$116/1000000*-1</f>
        <v>9.6668350556972218</v>
      </c>
      <c r="J15" s="33">
        <f t="shared" si="4"/>
        <v>3.8304149443027757</v>
      </c>
      <c r="L15" s="33">
        <f>'ReinvestNon-Bank-High'!$AB$75/1000000</f>
        <v>715</v>
      </c>
      <c r="M15" s="33">
        <f>'ReinvestNon-Bank-High'!$AB$71/1000000</f>
        <v>650</v>
      </c>
      <c r="N15" s="33">
        <f>'ReinvestNon-Bank-High'!$AB$108/1000000</f>
        <v>5.1284999999999989</v>
      </c>
      <c r="O15" s="33">
        <f>'ReinvestNon-Bank-High'!$AB$116/1000000*-1</f>
        <v>10.234627583545832</v>
      </c>
      <c r="P15" s="33">
        <f t="shared" si="5"/>
        <v>-5.1061275835458328</v>
      </c>
      <c r="R15" s="33">
        <f t="shared" si="0"/>
        <v>715</v>
      </c>
      <c r="S15" s="33">
        <f t="shared" si="1"/>
        <v>650</v>
      </c>
      <c r="T15" s="33">
        <f t="shared" si="2"/>
        <v>9.3128749999999982</v>
      </c>
      <c r="U15" s="33">
        <f t="shared" si="3"/>
        <v>9.9507313196215268</v>
      </c>
      <c r="V15" s="33">
        <f t="shared" si="6"/>
        <v>-0.63785631962152856</v>
      </c>
    </row>
    <row r="16" spans="1:23" s="33" customFormat="1">
      <c r="D16" s="138">
        <v>9</v>
      </c>
      <c r="F16" s="33">
        <f>'Model-1-Low'!$AC$75/1000000</f>
        <v>880</v>
      </c>
      <c r="G16" s="33">
        <f>'Model-1-Low'!$AC$71/1000000</f>
        <v>800</v>
      </c>
      <c r="H16" s="33">
        <f>'Model-1-Low'!$AC$108/1000000</f>
        <v>16.260000000000002</v>
      </c>
      <c r="I16" s="33">
        <f>'Model-1-Low'!$AC$116/1000000*-1</f>
        <v>11.277938531740707</v>
      </c>
      <c r="J16" s="33">
        <f t="shared" si="4"/>
        <v>4.9820614682592943</v>
      </c>
      <c r="L16" s="33">
        <f>'ReinvestNon-Bank-High'!$AC$75/1000000</f>
        <v>880</v>
      </c>
      <c r="M16" s="33">
        <f>'ReinvestNon-Bank-High'!$AC$71/1000000</f>
        <v>800</v>
      </c>
      <c r="N16" s="33">
        <f>'ReinvestNon-Bank-High'!$AC$108/1000000</f>
        <v>5.9600000000000009</v>
      </c>
      <c r="O16" s="33">
        <f>'ReinvestNon-Bank-High'!$AC$116/1000000*-1</f>
        <v>11.66690779761106</v>
      </c>
      <c r="P16" s="33">
        <f t="shared" si="5"/>
        <v>-5.7069077976110592</v>
      </c>
      <c r="R16" s="33">
        <f t="shared" si="0"/>
        <v>880</v>
      </c>
      <c r="S16" s="33">
        <f t="shared" si="1"/>
        <v>800</v>
      </c>
      <c r="T16" s="33">
        <f t="shared" si="2"/>
        <v>11.110000000000001</v>
      </c>
      <c r="U16" s="33">
        <f t="shared" si="3"/>
        <v>11.472423164675885</v>
      </c>
      <c r="V16" s="33">
        <f t="shared" si="6"/>
        <v>-0.36242316467588331</v>
      </c>
      <c r="W16" s="33">
        <f>SUM(V8:V16)</f>
        <v>-13.440606579653743</v>
      </c>
    </row>
    <row r="17" spans="2:23" s="33" customFormat="1">
      <c r="D17" s="242">
        <v>10</v>
      </c>
      <c r="F17" s="33">
        <f>'Model-1-Low'!$AD$75/1000000</f>
        <v>1100</v>
      </c>
      <c r="G17" s="33">
        <f>'Model-1-Low'!$AD$71/1000000</f>
        <v>1000</v>
      </c>
      <c r="H17" s="33">
        <f>'Model-1-Low'!$AD$108/1000000</f>
        <v>20.324999999999999</v>
      </c>
      <c r="I17" s="33">
        <f>'Model-1-Low'!$AD$116/1000000*-1</f>
        <v>13.597423164675883</v>
      </c>
      <c r="J17" s="33">
        <f t="shared" si="4"/>
        <v>6.7275768353241165</v>
      </c>
      <c r="L17" s="33">
        <f>'ReinvestNon-Bank-High'!$AD$75/1000000</f>
        <v>1100</v>
      </c>
      <c r="M17" s="33">
        <f>'ReinvestNon-Bank-High'!$AD$71/1000000</f>
        <v>1000</v>
      </c>
      <c r="N17" s="33">
        <f>'ReinvestNon-Bank-High'!$AD$108/1000000</f>
        <v>7.4499999999999984</v>
      </c>
      <c r="O17" s="33">
        <f>'ReinvestNon-Bank-High'!$AD$116/1000000*-1</f>
        <v>13.833634747013821</v>
      </c>
      <c r="P17" s="33">
        <f t="shared" si="5"/>
        <v>-6.3836347470138231</v>
      </c>
      <c r="R17" s="33">
        <f t="shared" si="0"/>
        <v>1100</v>
      </c>
      <c r="S17" s="33">
        <f t="shared" si="1"/>
        <v>1000</v>
      </c>
      <c r="T17" s="33">
        <f t="shared" si="2"/>
        <v>13.887499999999999</v>
      </c>
      <c r="U17" s="33">
        <f t="shared" si="3"/>
        <v>13.715528955844853</v>
      </c>
      <c r="V17" s="33">
        <f t="shared" si="6"/>
        <v>0.1719710441551463</v>
      </c>
      <c r="W17" s="33">
        <f>0.15*R17</f>
        <v>165</v>
      </c>
    </row>
    <row r="18" spans="2:23" s="33" customFormat="1">
      <c r="D18" s="33">
        <v>11</v>
      </c>
      <c r="F18" s="33">
        <f t="shared" ref="F18:F49" si="7">F17*(1+$B$3)</f>
        <v>1155</v>
      </c>
      <c r="G18" s="33">
        <f t="shared" ref="G18:G49" si="8">G17*(1+$B$3)</f>
        <v>1050</v>
      </c>
      <c r="H18" s="33">
        <f>G18*$B$70</f>
        <v>21.341249999999995</v>
      </c>
      <c r="I18" s="33">
        <f>-(G18*$C$70+$D$70+$E$70)</f>
        <v>14.177294322909676</v>
      </c>
      <c r="J18" s="33">
        <f t="shared" si="4"/>
        <v>7.1639556770903194</v>
      </c>
      <c r="L18" s="33">
        <f t="shared" ref="L18:L49" si="9">L17*(1+$B$3)</f>
        <v>1155</v>
      </c>
      <c r="M18" s="33">
        <f t="shared" ref="M18:M49" si="10">M17*(1+$B$3)</f>
        <v>1050</v>
      </c>
      <c r="N18" s="33">
        <f>M18*$B$71</f>
        <v>7.8224999999999962</v>
      </c>
      <c r="O18" s="33">
        <f>-(M18*$C$71+$D$71+$E$71)</f>
        <v>14.375316484364513</v>
      </c>
      <c r="P18" s="33">
        <f t="shared" si="5"/>
        <v>-6.5528164843645165</v>
      </c>
      <c r="R18" s="33">
        <f t="shared" si="0"/>
        <v>1155</v>
      </c>
      <c r="S18" s="33">
        <f t="shared" si="1"/>
        <v>1050</v>
      </c>
      <c r="T18" s="33">
        <f t="shared" si="2"/>
        <v>14.581874999999997</v>
      </c>
      <c r="U18" s="33">
        <f t="shared" si="3"/>
        <v>14.276305403637094</v>
      </c>
      <c r="V18" s="33">
        <f t="shared" si="6"/>
        <v>0.30556959636290237</v>
      </c>
    </row>
    <row r="19" spans="2:23" s="33" customFormat="1">
      <c r="D19" s="33">
        <f>D18+1</f>
        <v>12</v>
      </c>
      <c r="F19" s="33">
        <f t="shared" si="7"/>
        <v>1212.75</v>
      </c>
      <c r="G19" s="33">
        <f t="shared" si="8"/>
        <v>1102.5</v>
      </c>
      <c r="H19" s="33">
        <f>G19*$B$70</f>
        <v>22.408312499999994</v>
      </c>
      <c r="I19" s="33">
        <f t="shared" ref="I19:I67" si="11">-(G19*$C$70+$D$70+$E$70)</f>
        <v>14.786159039055159</v>
      </c>
      <c r="J19" s="33">
        <f t="shared" si="4"/>
        <v>7.6221534609448351</v>
      </c>
      <c r="L19" s="33">
        <f t="shared" si="9"/>
        <v>1212.75</v>
      </c>
      <c r="M19" s="33">
        <f t="shared" si="10"/>
        <v>1102.5</v>
      </c>
      <c r="N19" s="33">
        <f t="shared" ref="N19:N67" si="12">M19*$B$71</f>
        <v>8.2136249999999968</v>
      </c>
      <c r="O19" s="33">
        <f t="shared" ref="O19:O67" si="13">-(M19*$C$71+$D$71+$E$71)</f>
        <v>14.94408230858274</v>
      </c>
      <c r="P19" s="33">
        <f t="shared" si="5"/>
        <v>-6.7304573085827428</v>
      </c>
      <c r="R19" s="33">
        <f t="shared" si="0"/>
        <v>1212.75</v>
      </c>
      <c r="S19" s="33">
        <f t="shared" si="1"/>
        <v>1102.5</v>
      </c>
      <c r="T19" s="33">
        <f t="shared" si="2"/>
        <v>15.310968749999995</v>
      </c>
      <c r="U19" s="33">
        <f t="shared" si="3"/>
        <v>14.86512067381895</v>
      </c>
      <c r="V19" s="33">
        <f t="shared" si="6"/>
        <v>0.44584807618104527</v>
      </c>
    </row>
    <row r="20" spans="2:23" s="33" customFormat="1">
      <c r="D20" s="33">
        <f t="shared" ref="D20:D67" si="14">D19+1</f>
        <v>13</v>
      </c>
      <c r="F20" s="33">
        <f t="shared" si="7"/>
        <v>1273.3875</v>
      </c>
      <c r="G20" s="33">
        <f t="shared" si="8"/>
        <v>1157.625</v>
      </c>
      <c r="H20" s="33">
        <f t="shared" ref="H20:H66" si="15">G20*$B$70</f>
        <v>23.528728124999994</v>
      </c>
      <c r="I20" s="33">
        <f t="shared" si="11"/>
        <v>15.425466991007918</v>
      </c>
      <c r="J20" s="33">
        <f t="shared" si="4"/>
        <v>8.1032611339920759</v>
      </c>
      <c r="L20" s="33">
        <f t="shared" si="9"/>
        <v>1273.3875</v>
      </c>
      <c r="M20" s="33">
        <f t="shared" si="10"/>
        <v>1157.625</v>
      </c>
      <c r="N20" s="33">
        <f>M20*$B$71</f>
        <v>8.6243062499999965</v>
      </c>
      <c r="O20" s="33">
        <f>-(M20*$C$71+$D$71+$E$71)</f>
        <v>15.541286424011876</v>
      </c>
      <c r="P20" s="33">
        <f t="shared" si="5"/>
        <v>-6.9169801740118793</v>
      </c>
      <c r="R20" s="33">
        <f t="shared" si="0"/>
        <v>1273.3875</v>
      </c>
      <c r="S20" s="33">
        <f t="shared" si="1"/>
        <v>1157.625</v>
      </c>
      <c r="T20" s="33">
        <f t="shared" si="2"/>
        <v>16.076517187499995</v>
      </c>
      <c r="U20" s="33">
        <f t="shared" si="3"/>
        <v>15.483376707509898</v>
      </c>
      <c r="V20" s="33">
        <f t="shared" si="6"/>
        <v>0.59314047999009745</v>
      </c>
    </row>
    <row r="21" spans="2:23" s="33" customFormat="1">
      <c r="D21" s="33">
        <f t="shared" si="14"/>
        <v>14</v>
      </c>
      <c r="F21" s="33">
        <f t="shared" si="7"/>
        <v>1337.056875</v>
      </c>
      <c r="G21" s="33">
        <f t="shared" si="8"/>
        <v>1215.5062500000001</v>
      </c>
      <c r="H21" s="33">
        <f t="shared" si="15"/>
        <v>24.705164531249999</v>
      </c>
      <c r="I21" s="33">
        <f t="shared" si="11"/>
        <v>16.096740340558313</v>
      </c>
      <c r="J21" s="33">
        <f t="shared" si="4"/>
        <v>8.6084241906916859</v>
      </c>
      <c r="L21" s="33">
        <f t="shared" si="9"/>
        <v>1337.056875</v>
      </c>
      <c r="M21" s="33">
        <f t="shared" si="10"/>
        <v>1215.5062500000001</v>
      </c>
      <c r="N21" s="33">
        <f t="shared" si="12"/>
        <v>9.0555215624999974</v>
      </c>
      <c r="O21" s="33">
        <f t="shared" si="13"/>
        <v>16.168350745212472</v>
      </c>
      <c r="P21" s="33">
        <f t="shared" si="5"/>
        <v>-7.1128291827124741</v>
      </c>
      <c r="R21" s="33">
        <f t="shared" si="0"/>
        <v>1337.056875</v>
      </c>
      <c r="S21" s="33">
        <f t="shared" si="1"/>
        <v>1215.5062500000001</v>
      </c>
      <c r="T21" s="33">
        <f t="shared" si="2"/>
        <v>16.880343046874998</v>
      </c>
      <c r="U21" s="33">
        <f t="shared" si="3"/>
        <v>16.132545542885392</v>
      </c>
      <c r="V21" s="33">
        <f t="shared" si="6"/>
        <v>0.74779750398960587</v>
      </c>
    </row>
    <row r="22" spans="2:23">
      <c r="B22" s="33"/>
      <c r="C22" s="33"/>
      <c r="D22">
        <f t="shared" si="14"/>
        <v>15</v>
      </c>
      <c r="F22" s="33">
        <f t="shared" si="7"/>
        <v>1403.9097187500001</v>
      </c>
      <c r="G22" s="33">
        <f t="shared" si="8"/>
        <v>1276.2815625000003</v>
      </c>
      <c r="H22" s="142">
        <f t="shared" si="15"/>
        <v>25.940422757812499</v>
      </c>
      <c r="I22" s="142">
        <f t="shared" si="11"/>
        <v>16.801577357586233</v>
      </c>
      <c r="J22" s="141">
        <f t="shared" si="4"/>
        <v>9.1388454002262662</v>
      </c>
      <c r="K22" s="33"/>
      <c r="L22" s="33">
        <f t="shared" si="9"/>
        <v>1403.9097187500001</v>
      </c>
      <c r="M22" s="33">
        <f t="shared" si="10"/>
        <v>1276.2815625000003</v>
      </c>
      <c r="N22" s="142">
        <f t="shared" si="12"/>
        <v>9.5082976406249973</v>
      </c>
      <c r="O22" s="142">
        <f t="shared" si="13"/>
        <v>16.826768282473097</v>
      </c>
      <c r="P22" s="140">
        <f t="shared" si="5"/>
        <v>-7.3184706418480996</v>
      </c>
      <c r="Q22" s="33"/>
      <c r="R22" s="33">
        <f t="shared" si="0"/>
        <v>1403.9097187500001</v>
      </c>
      <c r="S22" s="33">
        <f t="shared" si="1"/>
        <v>1276.2815625000003</v>
      </c>
      <c r="T22" s="33">
        <f t="shared" si="2"/>
        <v>17.724360199218747</v>
      </c>
      <c r="U22" s="33">
        <f t="shared" si="3"/>
        <v>16.814172820029665</v>
      </c>
      <c r="V22" s="140">
        <f t="shared" si="6"/>
        <v>0.91018737918908244</v>
      </c>
    </row>
    <row r="23" spans="2:23">
      <c r="B23" s="33"/>
      <c r="C23" s="33"/>
      <c r="D23">
        <f t="shared" si="14"/>
        <v>16</v>
      </c>
      <c r="F23" s="33">
        <f t="shared" si="7"/>
        <v>1474.1052046875002</v>
      </c>
      <c r="G23" s="33">
        <f t="shared" si="8"/>
        <v>1340.0956406250004</v>
      </c>
      <c r="H23" s="142">
        <f t="shared" si="15"/>
        <v>27.23744389570313</v>
      </c>
      <c r="I23" s="142">
        <f t="shared" si="11"/>
        <v>17.541656225465545</v>
      </c>
      <c r="J23" s="141">
        <f t="shared" si="4"/>
        <v>9.6957876702375856</v>
      </c>
      <c r="K23" s="33"/>
      <c r="L23" s="33">
        <f t="shared" si="9"/>
        <v>1474.1052046875002</v>
      </c>
      <c r="M23" s="33">
        <f t="shared" si="10"/>
        <v>1340.0956406250004</v>
      </c>
      <c r="N23" s="142">
        <f t="shared" si="12"/>
        <v>9.9837125226562495</v>
      </c>
      <c r="O23" s="142">
        <f t="shared" si="13"/>
        <v>17.518106696596753</v>
      </c>
      <c r="P23" s="140">
        <f t="shared" si="5"/>
        <v>-7.5343941739405036</v>
      </c>
      <c r="Q23" s="33"/>
      <c r="R23" s="33">
        <f t="shared" si="0"/>
        <v>1474.1052046875002</v>
      </c>
      <c r="S23" s="33">
        <f t="shared" si="1"/>
        <v>1340.0956406250004</v>
      </c>
      <c r="T23" s="33">
        <f t="shared" si="2"/>
        <v>18.610578209179689</v>
      </c>
      <c r="U23" s="33">
        <f t="shared" si="3"/>
        <v>17.529881461031149</v>
      </c>
      <c r="V23" s="140">
        <f t="shared" si="6"/>
        <v>1.0806967481485401</v>
      </c>
    </row>
    <row r="24" spans="2:23">
      <c r="B24" s="33"/>
      <c r="C24" s="33"/>
      <c r="D24">
        <f t="shared" si="14"/>
        <v>17</v>
      </c>
      <c r="F24" s="33">
        <f t="shared" si="7"/>
        <v>1547.8104649218753</v>
      </c>
      <c r="G24" s="33">
        <f t="shared" si="8"/>
        <v>1407.1004226562504</v>
      </c>
      <c r="H24" s="142">
        <f t="shared" si="15"/>
        <v>28.599316090488283</v>
      </c>
      <c r="I24" s="142">
        <f t="shared" si="11"/>
        <v>18.318739036738823</v>
      </c>
      <c r="J24" s="141">
        <f t="shared" si="4"/>
        <v>10.280577053749461</v>
      </c>
      <c r="K24" s="33"/>
      <c r="L24" s="33">
        <f t="shared" si="9"/>
        <v>1547.8104649218753</v>
      </c>
      <c r="M24" s="33">
        <f t="shared" si="10"/>
        <v>1407.1004226562504</v>
      </c>
      <c r="N24" s="142">
        <f t="shared" si="12"/>
        <v>10.482898148789062</v>
      </c>
      <c r="O24" s="142">
        <f t="shared" si="13"/>
        <v>18.244012031426593</v>
      </c>
      <c r="P24" s="140">
        <f t="shared" si="5"/>
        <v>-7.761113882637531</v>
      </c>
      <c r="Q24" s="33"/>
      <c r="R24" s="33">
        <f t="shared" si="0"/>
        <v>1547.8104649218753</v>
      </c>
      <c r="S24" s="33">
        <f t="shared" si="1"/>
        <v>1407.1004226562504</v>
      </c>
      <c r="T24" s="33">
        <f t="shared" si="2"/>
        <v>19.541107119638674</v>
      </c>
      <c r="U24" s="33">
        <f t="shared" si="3"/>
        <v>18.281375534082706</v>
      </c>
      <c r="V24" s="140">
        <f t="shared" si="6"/>
        <v>1.2597315855559685</v>
      </c>
    </row>
    <row r="25" spans="2:23">
      <c r="B25" s="33"/>
      <c r="C25" s="33"/>
      <c r="D25">
        <f t="shared" si="14"/>
        <v>18</v>
      </c>
      <c r="F25" s="33">
        <f t="shared" si="7"/>
        <v>1625.2009881679692</v>
      </c>
      <c r="G25" s="33">
        <f t="shared" si="8"/>
        <v>1477.4554437890631</v>
      </c>
      <c r="H25" s="142">
        <f t="shared" si="15"/>
        <v>30.029281895012701</v>
      </c>
      <c r="I25" s="142">
        <f t="shared" si="11"/>
        <v>19.134675988575765</v>
      </c>
      <c r="J25" s="141">
        <f t="shared" si="4"/>
        <v>10.894605906436936</v>
      </c>
      <c r="K25" s="33"/>
      <c r="L25" s="33">
        <f t="shared" si="9"/>
        <v>1625.2009881679692</v>
      </c>
      <c r="M25" s="33">
        <f t="shared" si="10"/>
        <v>1477.4554437890631</v>
      </c>
      <c r="N25" s="142">
        <f t="shared" si="12"/>
        <v>11.007043056228515</v>
      </c>
      <c r="O25" s="142">
        <f t="shared" si="13"/>
        <v>19.006212632997922</v>
      </c>
      <c r="P25" s="140">
        <f t="shared" si="5"/>
        <v>-7.9991695767694075</v>
      </c>
      <c r="Q25" s="33"/>
      <c r="R25" s="33">
        <f t="shared" si="0"/>
        <v>1625.2009881679692</v>
      </c>
      <c r="S25" s="33">
        <f t="shared" si="1"/>
        <v>1477.4554437890631</v>
      </c>
      <c r="T25" s="33">
        <f t="shared" si="2"/>
        <v>20.518162475620606</v>
      </c>
      <c r="U25" s="33">
        <f t="shared" si="3"/>
        <v>19.070444310786844</v>
      </c>
      <c r="V25" s="140">
        <f t="shared" si="6"/>
        <v>1.4477181648337627</v>
      </c>
    </row>
    <row r="26" spans="2:23">
      <c r="B26" s="33"/>
      <c r="C26" s="33"/>
      <c r="D26">
        <f t="shared" si="14"/>
        <v>19</v>
      </c>
      <c r="F26" s="33">
        <f t="shared" si="7"/>
        <v>1706.4610375763677</v>
      </c>
      <c r="G26" s="33">
        <f t="shared" si="8"/>
        <v>1551.3282159785163</v>
      </c>
      <c r="H26" s="142">
        <f t="shared" si="15"/>
        <v>31.530745989763336</v>
      </c>
      <c r="I26" s="142">
        <f t="shared" si="11"/>
        <v>19.991409788004553</v>
      </c>
      <c r="J26" s="141">
        <f t="shared" si="4"/>
        <v>11.539336201758783</v>
      </c>
      <c r="K26" s="33"/>
      <c r="L26" s="33">
        <f t="shared" si="9"/>
        <v>1706.4610375763677</v>
      </c>
      <c r="M26" s="33">
        <f t="shared" si="10"/>
        <v>1551.3282159785163</v>
      </c>
      <c r="N26" s="142">
        <f t="shared" si="12"/>
        <v>11.557395209039941</v>
      </c>
      <c r="O26" s="142">
        <f t="shared" si="13"/>
        <v>19.806523264647819</v>
      </c>
      <c r="P26" s="140">
        <f t="shared" si="5"/>
        <v>-8.2491280556078781</v>
      </c>
      <c r="Q26" s="33"/>
      <c r="R26" s="33">
        <f t="shared" si="0"/>
        <v>1706.4610375763677</v>
      </c>
      <c r="S26" s="33">
        <f t="shared" si="1"/>
        <v>1551.3282159785163</v>
      </c>
      <c r="T26" s="33">
        <f t="shared" si="2"/>
        <v>21.544070599401639</v>
      </c>
      <c r="U26" s="33">
        <f t="shared" si="3"/>
        <v>19.898966526326184</v>
      </c>
      <c r="V26" s="140">
        <f t="shared" si="6"/>
        <v>1.6451040730754549</v>
      </c>
    </row>
    <row r="27" spans="2:23">
      <c r="B27" s="33"/>
      <c r="C27" s="33"/>
      <c r="D27">
        <f t="shared" si="14"/>
        <v>20</v>
      </c>
      <c r="F27" s="33">
        <f t="shared" si="7"/>
        <v>1791.7840894551862</v>
      </c>
      <c r="G27" s="33">
        <f t="shared" si="8"/>
        <v>1628.8946267774422</v>
      </c>
      <c r="H27" s="142">
        <f t="shared" si="15"/>
        <v>33.107283289251505</v>
      </c>
      <c r="I27" s="142">
        <f t="shared" si="11"/>
        <v>20.890980277404783</v>
      </c>
      <c r="J27" s="141">
        <f t="shared" si="4"/>
        <v>12.216303011846723</v>
      </c>
      <c r="K27" s="33"/>
      <c r="L27" s="33">
        <f t="shared" si="9"/>
        <v>1791.7840894551862</v>
      </c>
      <c r="M27" s="33">
        <f t="shared" si="10"/>
        <v>1628.8946267774422</v>
      </c>
      <c r="N27" s="142">
        <f t="shared" si="12"/>
        <v>12.135264969491939</v>
      </c>
      <c r="O27" s="142">
        <f t="shared" si="13"/>
        <v>20.646849427880209</v>
      </c>
      <c r="P27" s="140">
        <f t="shared" si="5"/>
        <v>-8.5115844583882705</v>
      </c>
      <c r="Q27" s="33"/>
      <c r="R27" s="33">
        <f t="shared" si="0"/>
        <v>1791.7840894551862</v>
      </c>
      <c r="S27" s="33">
        <f t="shared" si="1"/>
        <v>1628.8946267774422</v>
      </c>
      <c r="T27" s="33">
        <f t="shared" si="2"/>
        <v>22.62127412937172</v>
      </c>
      <c r="U27" s="33">
        <f t="shared" si="3"/>
        <v>20.768914852642496</v>
      </c>
      <c r="V27" s="140">
        <f t="shared" si="6"/>
        <v>1.8523592767292243</v>
      </c>
    </row>
    <row r="28" spans="2:23">
      <c r="B28" s="33"/>
      <c r="C28" s="33"/>
      <c r="D28">
        <f t="shared" si="14"/>
        <v>21</v>
      </c>
      <c r="F28" s="33">
        <f t="shared" si="7"/>
        <v>1881.3732939279455</v>
      </c>
      <c r="G28" s="33">
        <f t="shared" si="8"/>
        <v>1710.3393581163143</v>
      </c>
      <c r="H28" s="142">
        <f t="shared" si="15"/>
        <v>34.762647453714081</v>
      </c>
      <c r="I28" s="142">
        <f t="shared" si="11"/>
        <v>21.835529291275023</v>
      </c>
      <c r="J28" s="141">
        <f t="shared" si="4"/>
        <v>12.927118162439058</v>
      </c>
      <c r="K28" s="33"/>
      <c r="L28" s="33">
        <f t="shared" si="9"/>
        <v>1881.3732939279455</v>
      </c>
      <c r="M28" s="33">
        <f t="shared" si="10"/>
        <v>1710.3393581163143</v>
      </c>
      <c r="N28" s="142">
        <f t="shared" si="12"/>
        <v>12.742028217966535</v>
      </c>
      <c r="O28" s="142">
        <f t="shared" si="13"/>
        <v>21.52919189927422</v>
      </c>
      <c r="P28" s="140">
        <f t="shared" si="5"/>
        <v>-8.7871636813076854</v>
      </c>
      <c r="Q28" s="33"/>
      <c r="R28" s="33">
        <f t="shared" si="0"/>
        <v>1881.3732939279455</v>
      </c>
      <c r="S28" s="33">
        <f t="shared" si="1"/>
        <v>1710.3393581163143</v>
      </c>
      <c r="T28" s="33">
        <f t="shared" si="2"/>
        <v>23.752337835840308</v>
      </c>
      <c r="U28" s="33">
        <f t="shared" si="3"/>
        <v>21.682360595274623</v>
      </c>
      <c r="V28" s="140">
        <f t="shared" si="6"/>
        <v>2.0699772405656844</v>
      </c>
    </row>
    <row r="29" spans="2:23">
      <c r="B29" s="33"/>
      <c r="C29" s="33"/>
      <c r="D29">
        <f t="shared" si="14"/>
        <v>22</v>
      </c>
      <c r="F29" s="33">
        <f t="shared" si="7"/>
        <v>1975.4419586243428</v>
      </c>
      <c r="G29" s="33">
        <f t="shared" si="8"/>
        <v>1795.8563260221301</v>
      </c>
      <c r="H29" s="142">
        <f t="shared" si="15"/>
        <v>36.500779826399786</v>
      </c>
      <c r="I29" s="142">
        <f t="shared" si="11"/>
        <v>22.827305755838776</v>
      </c>
      <c r="J29" s="141">
        <f t="shared" si="4"/>
        <v>13.67347407056101</v>
      </c>
      <c r="K29" s="33"/>
      <c r="L29" s="33">
        <f t="shared" si="9"/>
        <v>1975.4419586243428</v>
      </c>
      <c r="M29" s="33">
        <f t="shared" si="10"/>
        <v>1795.8563260221301</v>
      </c>
      <c r="N29" s="142">
        <f t="shared" si="12"/>
        <v>13.379129628864863</v>
      </c>
      <c r="O29" s="142">
        <f t="shared" si="13"/>
        <v>22.455651494237934</v>
      </c>
      <c r="P29" s="140">
        <f t="shared" si="5"/>
        <v>-9.0765218653730706</v>
      </c>
      <c r="Q29" s="33"/>
      <c r="R29" s="33">
        <f t="shared" si="0"/>
        <v>1975.4419586243428</v>
      </c>
      <c r="S29" s="33">
        <f t="shared" si="1"/>
        <v>1795.8563260221301</v>
      </c>
      <c r="T29" s="33">
        <f t="shared" si="2"/>
        <v>24.939954727632326</v>
      </c>
      <c r="U29" s="33">
        <f t="shared" si="3"/>
        <v>22.641478625038353</v>
      </c>
      <c r="V29" s="140">
        <f t="shared" si="6"/>
        <v>2.2984761025939733</v>
      </c>
    </row>
    <row r="30" spans="2:23">
      <c r="B30" s="33"/>
      <c r="C30" s="33"/>
      <c r="D30">
        <f t="shared" si="14"/>
        <v>23</v>
      </c>
      <c r="F30" s="33">
        <f t="shared" si="7"/>
        <v>2074.2140565555601</v>
      </c>
      <c r="G30" s="33">
        <f t="shared" si="8"/>
        <v>1885.6491423232367</v>
      </c>
      <c r="H30" s="142">
        <f t="shared" si="15"/>
        <v>38.325818817719778</v>
      </c>
      <c r="I30" s="142">
        <f t="shared" si="11"/>
        <v>23.868671043630712</v>
      </c>
      <c r="J30" s="141">
        <f t="shared" si="4"/>
        <v>14.457147774089066</v>
      </c>
      <c r="K30" s="33"/>
      <c r="L30" s="33">
        <f t="shared" si="9"/>
        <v>2074.2140565555601</v>
      </c>
      <c r="M30" s="33">
        <f t="shared" si="10"/>
        <v>1885.6491423232367</v>
      </c>
      <c r="N30" s="142">
        <f t="shared" si="12"/>
        <v>14.048086110308107</v>
      </c>
      <c r="O30" s="142">
        <f t="shared" si="13"/>
        <v>23.42843406894983</v>
      </c>
      <c r="P30" s="140">
        <f t="shared" si="5"/>
        <v>-9.3803479586417229</v>
      </c>
      <c r="Q30" s="33"/>
      <c r="R30" s="33">
        <f t="shared" si="0"/>
        <v>2074.2140565555601</v>
      </c>
      <c r="S30" s="33">
        <f t="shared" si="1"/>
        <v>1885.6491423232367</v>
      </c>
      <c r="T30" s="33">
        <f t="shared" si="2"/>
        <v>26.186952464013942</v>
      </c>
      <c r="U30" s="33">
        <f t="shared" si="3"/>
        <v>23.648552556290269</v>
      </c>
      <c r="V30" s="140">
        <f t="shared" si="6"/>
        <v>2.5383999077236723</v>
      </c>
    </row>
    <row r="31" spans="2:23">
      <c r="B31" s="33"/>
      <c r="C31" s="33"/>
      <c r="D31">
        <f t="shared" si="14"/>
        <v>24</v>
      </c>
      <c r="F31" s="33">
        <f t="shared" si="7"/>
        <v>2177.9247593833384</v>
      </c>
      <c r="G31" s="33">
        <f t="shared" si="8"/>
        <v>1979.9315994393985</v>
      </c>
      <c r="H31" s="142">
        <f t="shared" si="15"/>
        <v>40.242109758605764</v>
      </c>
      <c r="I31" s="142">
        <f t="shared" si="11"/>
        <v>24.962104595812249</v>
      </c>
      <c r="J31" s="141">
        <f t="shared" si="4"/>
        <v>15.280005162793515</v>
      </c>
      <c r="K31" s="33"/>
      <c r="L31" s="33">
        <f t="shared" si="9"/>
        <v>2177.9247593833384</v>
      </c>
      <c r="M31" s="33">
        <f t="shared" si="10"/>
        <v>1979.9315994393985</v>
      </c>
      <c r="N31" s="142">
        <f t="shared" si="12"/>
        <v>14.750490415823512</v>
      </c>
      <c r="O31" s="142">
        <f t="shared" si="13"/>
        <v>24.449855772397321</v>
      </c>
      <c r="P31" s="140">
        <f t="shared" si="5"/>
        <v>-9.6993653565738089</v>
      </c>
      <c r="Q31" s="33"/>
      <c r="R31" s="33">
        <f t="shared" si="0"/>
        <v>2177.9247593833384</v>
      </c>
      <c r="S31" s="33">
        <f t="shared" si="1"/>
        <v>1979.9315994393985</v>
      </c>
      <c r="T31" s="33">
        <f t="shared" si="2"/>
        <v>27.496300087214639</v>
      </c>
      <c r="U31" s="33">
        <f t="shared" si="3"/>
        <v>24.705980184104785</v>
      </c>
      <c r="V31" s="140">
        <f t="shared" si="6"/>
        <v>2.7903199031098538</v>
      </c>
    </row>
    <row r="32" spans="2:23">
      <c r="B32" s="33"/>
      <c r="C32" s="33"/>
      <c r="D32">
        <f t="shared" si="14"/>
        <v>25</v>
      </c>
      <c r="F32" s="33">
        <f t="shared" si="7"/>
        <v>2286.8209973525054</v>
      </c>
      <c r="G32" s="33">
        <f t="shared" si="8"/>
        <v>2078.9281794113685</v>
      </c>
      <c r="H32" s="142">
        <f t="shared" si="15"/>
        <v>42.254215246536056</v>
      </c>
      <c r="I32" s="142">
        <f t="shared" si="11"/>
        <v>26.110209825602862</v>
      </c>
      <c r="J32" s="141">
        <f t="shared" si="4"/>
        <v>16.144005420933194</v>
      </c>
      <c r="K32" s="33"/>
      <c r="L32" s="33">
        <f t="shared" si="9"/>
        <v>2286.8209973525054</v>
      </c>
      <c r="M32" s="33">
        <f t="shared" si="10"/>
        <v>2078.9281794113685</v>
      </c>
      <c r="N32" s="142">
        <f t="shared" si="12"/>
        <v>15.488014936614688</v>
      </c>
      <c r="O32" s="142">
        <f t="shared" si="13"/>
        <v>25.522348561017189</v>
      </c>
      <c r="P32" s="140">
        <f t="shared" si="5"/>
        <v>-10.034333624402501</v>
      </c>
      <c r="Q32" s="33"/>
      <c r="R32" s="33">
        <f t="shared" si="0"/>
        <v>2286.8209973525054</v>
      </c>
      <c r="S32" s="33">
        <f t="shared" si="1"/>
        <v>2078.9281794113685</v>
      </c>
      <c r="T32" s="33">
        <f t="shared" si="2"/>
        <v>28.871115091575373</v>
      </c>
      <c r="U32" s="33">
        <f t="shared" si="3"/>
        <v>25.816279193310024</v>
      </c>
      <c r="V32" s="140">
        <f t="shared" si="6"/>
        <v>3.054835898265349</v>
      </c>
    </row>
    <row r="33" spans="2:22">
      <c r="B33" s="33"/>
      <c r="C33" s="33"/>
      <c r="D33">
        <f t="shared" si="14"/>
        <v>26</v>
      </c>
      <c r="F33" s="33">
        <f t="shared" si="7"/>
        <v>2401.1620472201307</v>
      </c>
      <c r="G33" s="33">
        <f t="shared" si="8"/>
        <v>2182.874588381937</v>
      </c>
      <c r="H33" s="142">
        <f t="shared" si="15"/>
        <v>44.366926008862862</v>
      </c>
      <c r="I33" s="142">
        <f t="shared" si="11"/>
        <v>27.315720316883006</v>
      </c>
      <c r="J33" s="141">
        <f t="shared" si="4"/>
        <v>17.051205691979856</v>
      </c>
      <c r="K33" s="33"/>
      <c r="L33" s="33">
        <f t="shared" si="9"/>
        <v>2401.1620472201307</v>
      </c>
      <c r="M33" s="33">
        <f t="shared" si="10"/>
        <v>2182.874588381937</v>
      </c>
      <c r="N33" s="142">
        <f t="shared" si="12"/>
        <v>16.262415683445422</v>
      </c>
      <c r="O33" s="142">
        <f t="shared" si="13"/>
        <v>26.648465989068047</v>
      </c>
      <c r="P33" s="140">
        <f t="shared" si="5"/>
        <v>-10.386050305622625</v>
      </c>
      <c r="Q33" s="33"/>
      <c r="R33" s="33">
        <f t="shared" si="0"/>
        <v>2401.1620472201307</v>
      </c>
      <c r="S33" s="33">
        <f t="shared" si="1"/>
        <v>2182.874588381937</v>
      </c>
      <c r="T33" s="33">
        <f t="shared" si="2"/>
        <v>30.314670846154144</v>
      </c>
      <c r="U33" s="33">
        <f t="shared" si="3"/>
        <v>26.982093152975526</v>
      </c>
      <c r="V33" s="140">
        <f t="shared" si="6"/>
        <v>3.3325776931786173</v>
      </c>
    </row>
    <row r="34" spans="2:22">
      <c r="B34" s="33"/>
      <c r="C34" s="33"/>
      <c r="D34">
        <f t="shared" si="14"/>
        <v>27</v>
      </c>
      <c r="F34" s="33">
        <f t="shared" si="7"/>
        <v>2521.2201495811373</v>
      </c>
      <c r="G34" s="33">
        <f t="shared" si="8"/>
        <v>2292.0183178010338</v>
      </c>
      <c r="H34" s="142">
        <f t="shared" si="15"/>
        <v>46.585272309306006</v>
      </c>
      <c r="I34" s="142">
        <f t="shared" si="11"/>
        <v>28.581506332727155</v>
      </c>
      <c r="J34" s="141">
        <f t="shared" si="4"/>
        <v>18.003765976578851</v>
      </c>
      <c r="K34" s="33"/>
      <c r="L34" s="33">
        <f t="shared" si="9"/>
        <v>2521.2201495811373</v>
      </c>
      <c r="M34" s="33">
        <f t="shared" si="10"/>
        <v>2292.0183178010338</v>
      </c>
      <c r="N34" s="142">
        <f t="shared" si="12"/>
        <v>17.075536467617695</v>
      </c>
      <c r="O34" s="142">
        <f t="shared" si="13"/>
        <v>27.830889288521451</v>
      </c>
      <c r="P34" s="140">
        <f t="shared" si="5"/>
        <v>-10.755352820903756</v>
      </c>
      <c r="Q34" s="33"/>
      <c r="R34" s="33">
        <f t="shared" si="0"/>
        <v>2521.2201495811373</v>
      </c>
      <c r="S34" s="33">
        <f t="shared" si="1"/>
        <v>2292.0183178010338</v>
      </c>
      <c r="T34" s="33">
        <f t="shared" si="2"/>
        <v>31.830404388461851</v>
      </c>
      <c r="U34" s="33">
        <f t="shared" si="3"/>
        <v>28.206197810624303</v>
      </c>
      <c r="V34" s="140">
        <f t="shared" si="6"/>
        <v>3.6242065778375476</v>
      </c>
    </row>
    <row r="35" spans="2:22">
      <c r="B35" s="33"/>
      <c r="C35" s="33"/>
      <c r="D35">
        <f t="shared" si="14"/>
        <v>28</v>
      </c>
      <c r="F35" s="33">
        <f t="shared" si="7"/>
        <v>2647.2811570601943</v>
      </c>
      <c r="G35" s="33">
        <f t="shared" si="8"/>
        <v>2406.6192336910858</v>
      </c>
      <c r="H35" s="142">
        <f t="shared" si="15"/>
        <v>48.914535924771307</v>
      </c>
      <c r="I35" s="142">
        <f t="shared" si="11"/>
        <v>29.910581649363518</v>
      </c>
      <c r="J35" s="141">
        <f t="shared" si="4"/>
        <v>19.003954275407789</v>
      </c>
      <c r="K35" s="33"/>
      <c r="L35" s="33">
        <f t="shared" si="9"/>
        <v>2647.2811570601943</v>
      </c>
      <c r="M35" s="33">
        <f t="shared" si="10"/>
        <v>2406.6192336910858</v>
      </c>
      <c r="N35" s="142">
        <f t="shared" si="12"/>
        <v>17.929313290998582</v>
      </c>
      <c r="O35" s="142">
        <f t="shared" si="13"/>
        <v>29.072433752947525</v>
      </c>
      <c r="P35" s="140">
        <f t="shared" si="5"/>
        <v>-11.143120461948943</v>
      </c>
      <c r="Q35" s="33"/>
      <c r="R35" s="33">
        <f t="shared" si="0"/>
        <v>2647.2811570601943</v>
      </c>
      <c r="S35" s="33">
        <f t="shared" si="1"/>
        <v>2406.6192336910858</v>
      </c>
      <c r="T35" s="33">
        <f t="shared" si="2"/>
        <v>33.421924607884947</v>
      </c>
      <c r="U35" s="33">
        <f t="shared" si="3"/>
        <v>29.49150770115552</v>
      </c>
      <c r="V35" s="140">
        <f t="shared" si="6"/>
        <v>3.9304169067294268</v>
      </c>
    </row>
    <row r="36" spans="2:22">
      <c r="B36" s="33"/>
      <c r="C36" s="33"/>
      <c r="D36">
        <f t="shared" si="14"/>
        <v>29</v>
      </c>
      <c r="F36" s="33">
        <f t="shared" si="7"/>
        <v>2779.6452149132042</v>
      </c>
      <c r="G36" s="33">
        <f t="shared" si="8"/>
        <v>2526.9501953756403</v>
      </c>
      <c r="H36" s="142">
        <f t="shared" si="15"/>
        <v>51.360262721009882</v>
      </c>
      <c r="I36" s="142">
        <f t="shared" si="11"/>
        <v>31.306110731831694</v>
      </c>
      <c r="J36" s="141">
        <f t="shared" si="4"/>
        <v>20.054151989178187</v>
      </c>
      <c r="K36" s="33"/>
      <c r="L36" s="33">
        <f t="shared" si="9"/>
        <v>2779.6452149132042</v>
      </c>
      <c r="M36" s="33">
        <f t="shared" si="10"/>
        <v>2526.9501953756403</v>
      </c>
      <c r="N36" s="142">
        <f t="shared" si="12"/>
        <v>18.825778955548511</v>
      </c>
      <c r="O36" s="142">
        <f t="shared" si="13"/>
        <v>30.376055440594904</v>
      </c>
      <c r="P36" s="140">
        <f t="shared" si="5"/>
        <v>-11.550276485046393</v>
      </c>
      <c r="Q36" s="33"/>
      <c r="R36" s="33">
        <f t="shared" si="0"/>
        <v>2779.6452149132042</v>
      </c>
      <c r="S36" s="33">
        <f t="shared" si="1"/>
        <v>2526.9501953756403</v>
      </c>
      <c r="T36" s="33">
        <f t="shared" si="2"/>
        <v>35.093020838279195</v>
      </c>
      <c r="U36" s="33">
        <f t="shared" si="3"/>
        <v>30.841083086213299</v>
      </c>
      <c r="V36" s="140">
        <f t="shared" si="6"/>
        <v>4.2519377520658956</v>
      </c>
    </row>
    <row r="37" spans="2:22">
      <c r="B37" s="33"/>
      <c r="C37" s="33"/>
      <c r="D37">
        <f t="shared" si="14"/>
        <v>30</v>
      </c>
      <c r="F37" s="33">
        <f t="shared" si="7"/>
        <v>2918.6274756588646</v>
      </c>
      <c r="G37" s="33">
        <f t="shared" si="8"/>
        <v>2653.2977051444223</v>
      </c>
      <c r="H37" s="142">
        <f t="shared" si="15"/>
        <v>53.92827585706037</v>
      </c>
      <c r="I37" s="142">
        <f t="shared" si="11"/>
        <v>32.77141626842328</v>
      </c>
      <c r="J37" s="141">
        <f t="shared" si="4"/>
        <v>21.15685958863709</v>
      </c>
      <c r="K37" s="33"/>
      <c r="L37" s="33">
        <f t="shared" si="9"/>
        <v>2918.6274756588646</v>
      </c>
      <c r="M37" s="33">
        <f t="shared" si="10"/>
        <v>2653.2977051444223</v>
      </c>
      <c r="N37" s="142">
        <f t="shared" si="12"/>
        <v>19.767067903325938</v>
      </c>
      <c r="O37" s="142">
        <f t="shared" si="13"/>
        <v>31.744858212624649</v>
      </c>
      <c r="P37" s="140">
        <f t="shared" si="5"/>
        <v>-11.977790309298712</v>
      </c>
      <c r="Q37" s="33"/>
      <c r="R37" s="33">
        <f t="shared" si="0"/>
        <v>2918.6274756588646</v>
      </c>
      <c r="S37" s="33">
        <f t="shared" si="1"/>
        <v>2653.2977051444223</v>
      </c>
      <c r="T37" s="33">
        <f t="shared" si="2"/>
        <v>36.847671880193154</v>
      </c>
      <c r="U37" s="33">
        <f t="shared" si="3"/>
        <v>32.258137240523965</v>
      </c>
      <c r="V37" s="140">
        <f t="shared" si="6"/>
        <v>4.5895346396691892</v>
      </c>
    </row>
    <row r="38" spans="2:22">
      <c r="B38" s="33"/>
      <c r="C38" s="33"/>
      <c r="D38">
        <f t="shared" si="14"/>
        <v>31</v>
      </c>
      <c r="F38" s="33">
        <f t="shared" si="7"/>
        <v>3064.558849441808</v>
      </c>
      <c r="G38" s="33">
        <f t="shared" si="8"/>
        <v>2785.9625904016434</v>
      </c>
      <c r="H38" s="142">
        <f t="shared" si="15"/>
        <v>56.624689649913392</v>
      </c>
      <c r="I38" s="142">
        <f t="shared" si="11"/>
        <v>34.30998708184444</v>
      </c>
      <c r="J38" s="141">
        <f t="shared" si="4"/>
        <v>22.314702568068952</v>
      </c>
      <c r="K38" s="33"/>
      <c r="L38" s="33">
        <f t="shared" si="9"/>
        <v>3064.558849441808</v>
      </c>
      <c r="M38" s="33">
        <f t="shared" si="10"/>
        <v>2785.9625904016434</v>
      </c>
      <c r="N38" s="142">
        <f t="shared" si="12"/>
        <v>20.755421298492234</v>
      </c>
      <c r="O38" s="142">
        <f t="shared" si="13"/>
        <v>33.182101123255876</v>
      </c>
      <c r="P38" s="140">
        <f t="shared" si="5"/>
        <v>-12.426679824763642</v>
      </c>
      <c r="Q38" s="33"/>
      <c r="R38" s="33">
        <f t="shared" si="0"/>
        <v>3064.558849441808</v>
      </c>
      <c r="S38" s="33">
        <f t="shared" si="1"/>
        <v>2785.9625904016434</v>
      </c>
      <c r="T38" s="33">
        <f t="shared" si="2"/>
        <v>38.690055474202815</v>
      </c>
      <c r="U38" s="33">
        <f t="shared" si="3"/>
        <v>33.746044102550158</v>
      </c>
      <c r="V38" s="140">
        <f t="shared" si="6"/>
        <v>4.9440113716526568</v>
      </c>
    </row>
    <row r="39" spans="2:22">
      <c r="B39" s="33"/>
      <c r="C39" s="33"/>
      <c r="D39">
        <f t="shared" si="14"/>
        <v>32</v>
      </c>
      <c r="F39" s="33">
        <f t="shared" si="7"/>
        <v>3217.7867919138985</v>
      </c>
      <c r="G39" s="33">
        <f t="shared" si="8"/>
        <v>2925.2607199217259</v>
      </c>
      <c r="H39" s="142">
        <f t="shared" si="15"/>
        <v>59.455924132409066</v>
      </c>
      <c r="I39" s="142">
        <f t="shared" si="11"/>
        <v>35.925486435936669</v>
      </c>
      <c r="J39" s="141">
        <f t="shared" si="4"/>
        <v>23.530437696472397</v>
      </c>
      <c r="K39" s="33"/>
      <c r="L39" s="33">
        <f t="shared" si="9"/>
        <v>3217.7867919138985</v>
      </c>
      <c r="M39" s="33">
        <f t="shared" si="10"/>
        <v>2925.2607199217259</v>
      </c>
      <c r="N39" s="142">
        <f t="shared" si="12"/>
        <v>21.793192363416846</v>
      </c>
      <c r="O39" s="142">
        <f t="shared" si="13"/>
        <v>34.691206179418678</v>
      </c>
      <c r="P39" s="140">
        <f t="shared" si="5"/>
        <v>-12.898013816001832</v>
      </c>
      <c r="Q39" s="33"/>
      <c r="R39" s="33">
        <f t="shared" si="0"/>
        <v>3217.7867919138985</v>
      </c>
      <c r="S39" s="33">
        <f t="shared" si="1"/>
        <v>2925.2607199217259</v>
      </c>
      <c r="T39" s="33">
        <f t="shared" si="2"/>
        <v>40.624558247912958</v>
      </c>
      <c r="U39" s="33">
        <f t="shared" si="3"/>
        <v>35.308346307677674</v>
      </c>
      <c r="V39" s="140">
        <f t="shared" si="6"/>
        <v>5.3162119402352843</v>
      </c>
    </row>
    <row r="40" spans="2:22">
      <c r="B40" s="33"/>
      <c r="C40" s="33"/>
      <c r="D40">
        <f t="shared" si="14"/>
        <v>33</v>
      </c>
      <c r="F40" s="33">
        <f t="shared" si="7"/>
        <v>3378.6761315095937</v>
      </c>
      <c r="G40" s="33">
        <f t="shared" si="8"/>
        <v>3071.5237559178122</v>
      </c>
      <c r="H40" s="142">
        <f t="shared" si="15"/>
        <v>62.428720339029518</v>
      </c>
      <c r="I40" s="142">
        <f t="shared" si="11"/>
        <v>37.621760757733504</v>
      </c>
      <c r="J40" s="141">
        <f t="shared" si="4"/>
        <v>24.806959581296013</v>
      </c>
      <c r="K40" s="33"/>
      <c r="L40" s="33">
        <f t="shared" si="9"/>
        <v>3378.6761315095937</v>
      </c>
      <c r="M40" s="33">
        <f t="shared" si="10"/>
        <v>3071.5237559178122</v>
      </c>
      <c r="N40" s="142">
        <f t="shared" si="12"/>
        <v>22.882851981587692</v>
      </c>
      <c r="O40" s="142">
        <f t="shared" si="13"/>
        <v>36.275766488389614</v>
      </c>
      <c r="P40" s="140">
        <f t="shared" si="5"/>
        <v>-13.392914506801922</v>
      </c>
      <c r="Q40" s="33"/>
      <c r="R40" s="33">
        <f t="shared" ref="R40:R67" si="16">AVERAGE(F40,L40)</f>
        <v>3378.6761315095937</v>
      </c>
      <c r="S40" s="33">
        <f t="shared" ref="S40:S67" si="17">AVERAGE(G40,M40)</f>
        <v>3071.5237559178122</v>
      </c>
      <c r="T40" s="33">
        <f t="shared" ref="T40:T67" si="18">AVERAGE(H40,N40)</f>
        <v>42.655786160308608</v>
      </c>
      <c r="U40" s="33">
        <f t="shared" ref="U40:U67" si="19">AVERAGE(I40,O40)</f>
        <v>36.948763623061559</v>
      </c>
      <c r="V40" s="140">
        <f t="shared" si="6"/>
        <v>5.7070225372470489</v>
      </c>
    </row>
    <row r="41" spans="2:22">
      <c r="B41" s="33"/>
      <c r="C41" s="33"/>
      <c r="D41">
        <f t="shared" si="14"/>
        <v>34</v>
      </c>
      <c r="F41" s="33">
        <f t="shared" si="7"/>
        <v>3547.6099380850737</v>
      </c>
      <c r="G41" s="33">
        <f t="shared" si="8"/>
        <v>3225.0999437137029</v>
      </c>
      <c r="H41" s="142">
        <f t="shared" si="15"/>
        <v>65.550156355981002</v>
      </c>
      <c r="I41" s="142">
        <f t="shared" si="11"/>
        <v>39.40284879562018</v>
      </c>
      <c r="J41" s="141">
        <f t="shared" si="4"/>
        <v>26.147307560360822</v>
      </c>
      <c r="K41" s="33"/>
      <c r="L41" s="33">
        <f t="shared" si="9"/>
        <v>3547.6099380850737</v>
      </c>
      <c r="M41" s="33">
        <f t="shared" si="10"/>
        <v>3225.0999437137029</v>
      </c>
      <c r="N41" s="142">
        <f t="shared" si="12"/>
        <v>24.026994580667075</v>
      </c>
      <c r="O41" s="142">
        <f t="shared" si="13"/>
        <v>37.939554812809092</v>
      </c>
      <c r="P41" s="140">
        <f t="shared" si="5"/>
        <v>-13.912560232142017</v>
      </c>
      <c r="Q41" s="33"/>
      <c r="R41" s="33">
        <f t="shared" si="16"/>
        <v>3547.6099380850737</v>
      </c>
      <c r="S41" s="33">
        <f t="shared" si="17"/>
        <v>3225.0999437137029</v>
      </c>
      <c r="T41" s="33">
        <f t="shared" si="18"/>
        <v>44.788575468324041</v>
      </c>
      <c r="U41" s="33">
        <f t="shared" si="19"/>
        <v>38.671201804214633</v>
      </c>
      <c r="V41" s="140">
        <f t="shared" si="6"/>
        <v>6.1173736641094081</v>
      </c>
    </row>
    <row r="42" spans="2:22">
      <c r="B42" s="33"/>
      <c r="C42" s="33"/>
      <c r="D42">
        <f t="shared" si="14"/>
        <v>35</v>
      </c>
      <c r="F42" s="33">
        <f t="shared" si="7"/>
        <v>3724.9904349893277</v>
      </c>
      <c r="G42" s="33">
        <f t="shared" si="8"/>
        <v>3386.3549408993881</v>
      </c>
      <c r="H42" s="142">
        <f t="shared" si="15"/>
        <v>68.82766417378005</v>
      </c>
      <c r="I42" s="142">
        <f t="shared" si="11"/>
        <v>41.272991235401186</v>
      </c>
      <c r="J42" s="141">
        <f t="shared" si="4"/>
        <v>27.554672938378864</v>
      </c>
      <c r="K42" s="33"/>
      <c r="L42" s="33">
        <f t="shared" si="9"/>
        <v>3724.9904349893277</v>
      </c>
      <c r="M42" s="33">
        <f t="shared" si="10"/>
        <v>3386.3549408993881</v>
      </c>
      <c r="N42" s="142">
        <f t="shared" si="12"/>
        <v>25.228344309700429</v>
      </c>
      <c r="O42" s="142">
        <f t="shared" si="13"/>
        <v>39.686532553449553</v>
      </c>
      <c r="P42" s="140">
        <f t="shared" si="5"/>
        <v>-14.458188243749124</v>
      </c>
      <c r="Q42" s="33"/>
      <c r="R42" s="33">
        <f t="shared" si="16"/>
        <v>3724.9904349893277</v>
      </c>
      <c r="S42" s="33">
        <f t="shared" si="17"/>
        <v>3386.3549408993881</v>
      </c>
      <c r="T42" s="33">
        <f t="shared" si="18"/>
        <v>47.028004241740241</v>
      </c>
      <c r="U42" s="33">
        <f t="shared" si="19"/>
        <v>40.479761894425366</v>
      </c>
      <c r="V42" s="140">
        <f t="shared" si="6"/>
        <v>6.5482423473148756</v>
      </c>
    </row>
    <row r="43" spans="2:22">
      <c r="B43" s="33"/>
      <c r="C43" s="33"/>
      <c r="D43">
        <f t="shared" si="14"/>
        <v>36</v>
      </c>
      <c r="F43" s="33">
        <f t="shared" si="7"/>
        <v>3911.2399567387943</v>
      </c>
      <c r="G43" s="33">
        <f t="shared" si="8"/>
        <v>3555.6726879443577</v>
      </c>
      <c r="H43" s="142">
        <f t="shared" si="15"/>
        <v>72.269047382469054</v>
      </c>
      <c r="I43" s="142">
        <f t="shared" si="11"/>
        <v>43.236640797171248</v>
      </c>
      <c r="J43" s="141">
        <f t="shared" si="4"/>
        <v>29.032406585297807</v>
      </c>
      <c r="K43" s="33"/>
      <c r="L43" s="33">
        <f t="shared" si="9"/>
        <v>3911.2399567387943</v>
      </c>
      <c r="M43" s="33">
        <f t="shared" si="10"/>
        <v>3555.6726879443577</v>
      </c>
      <c r="N43" s="142">
        <f t="shared" si="12"/>
        <v>26.489761525185454</v>
      </c>
      <c r="O43" s="142">
        <f t="shared" si="13"/>
        <v>41.520859181122027</v>
      </c>
      <c r="P43" s="140">
        <f t="shared" si="5"/>
        <v>-15.031097655936573</v>
      </c>
      <c r="Q43" s="33"/>
      <c r="R43" s="33">
        <f t="shared" si="16"/>
        <v>3911.2399567387943</v>
      </c>
      <c r="S43" s="33">
        <f t="shared" si="17"/>
        <v>3555.6726879443577</v>
      </c>
      <c r="T43" s="33">
        <f t="shared" si="18"/>
        <v>49.379404453827256</v>
      </c>
      <c r="U43" s="33">
        <f t="shared" si="19"/>
        <v>42.378749989146641</v>
      </c>
      <c r="V43" s="140">
        <f t="shared" si="6"/>
        <v>7.0006544646806148</v>
      </c>
    </row>
    <row r="44" spans="2:22">
      <c r="B44" s="33"/>
      <c r="C44" s="33"/>
      <c r="D44">
        <f t="shared" si="14"/>
        <v>37</v>
      </c>
      <c r="F44" s="33">
        <f t="shared" si="7"/>
        <v>4106.8019545757343</v>
      </c>
      <c r="G44" s="33">
        <f t="shared" si="8"/>
        <v>3733.4563223415757</v>
      </c>
      <c r="H44" s="142">
        <f t="shared" si="15"/>
        <v>75.882499751592505</v>
      </c>
      <c r="I44" s="142">
        <f t="shared" si="11"/>
        <v>45.298472837029813</v>
      </c>
      <c r="J44" s="141">
        <f t="shared" si="4"/>
        <v>30.584026914562692</v>
      </c>
      <c r="K44" s="33"/>
      <c r="L44" s="33">
        <f t="shared" si="9"/>
        <v>4106.8019545757343</v>
      </c>
      <c r="M44" s="33">
        <f t="shared" si="10"/>
        <v>3733.4563223415757</v>
      </c>
      <c r="N44" s="142">
        <f t="shared" si="12"/>
        <v>27.814249601444725</v>
      </c>
      <c r="O44" s="142">
        <f t="shared" si="13"/>
        <v>43.446902140178132</v>
      </c>
      <c r="P44" s="140">
        <f t="shared" si="5"/>
        <v>-15.632652538733407</v>
      </c>
      <c r="Q44" s="33"/>
      <c r="R44" s="33">
        <f t="shared" si="16"/>
        <v>4106.8019545757343</v>
      </c>
      <c r="S44" s="33">
        <f t="shared" si="17"/>
        <v>3733.4563223415757</v>
      </c>
      <c r="T44" s="33">
        <f t="shared" si="18"/>
        <v>51.848374676518617</v>
      </c>
      <c r="U44" s="33">
        <f t="shared" si="19"/>
        <v>44.372687488603972</v>
      </c>
      <c r="V44" s="140">
        <f t="shared" si="6"/>
        <v>7.4756871879146445</v>
      </c>
    </row>
    <row r="45" spans="2:22">
      <c r="B45" s="33"/>
      <c r="C45" s="33"/>
      <c r="D45">
        <f t="shared" si="14"/>
        <v>38</v>
      </c>
      <c r="F45" s="33">
        <f t="shared" si="7"/>
        <v>4312.1420523045208</v>
      </c>
      <c r="G45" s="33">
        <f t="shared" si="8"/>
        <v>3920.1291384586548</v>
      </c>
      <c r="H45" s="142">
        <f t="shared" si="15"/>
        <v>79.676624739172141</v>
      </c>
      <c r="I45" s="142">
        <f t="shared" si="11"/>
        <v>47.463396478881307</v>
      </c>
      <c r="J45" s="141">
        <f t="shared" si="4"/>
        <v>32.213228260290833</v>
      </c>
      <c r="K45" s="33"/>
      <c r="L45" s="33">
        <f t="shared" si="9"/>
        <v>4312.1420523045208</v>
      </c>
      <c r="M45" s="33">
        <f t="shared" si="10"/>
        <v>3920.1291384586548</v>
      </c>
      <c r="N45" s="142">
        <f t="shared" si="12"/>
        <v>29.204962081516964</v>
      </c>
      <c r="O45" s="142">
        <f t="shared" si="13"/>
        <v>45.469247247187042</v>
      </c>
      <c r="P45" s="140">
        <f t="shared" si="5"/>
        <v>-16.264285165670078</v>
      </c>
      <c r="Q45" s="33"/>
      <c r="R45" s="33">
        <f t="shared" si="16"/>
        <v>4312.1420523045208</v>
      </c>
      <c r="S45" s="33">
        <f t="shared" si="17"/>
        <v>3920.1291384586548</v>
      </c>
      <c r="T45" s="33">
        <f t="shared" si="18"/>
        <v>54.440793410344554</v>
      </c>
      <c r="U45" s="33">
        <f t="shared" si="19"/>
        <v>46.466321863034175</v>
      </c>
      <c r="V45" s="140">
        <f t="shared" si="6"/>
        <v>7.9744715473103795</v>
      </c>
    </row>
    <row r="46" spans="2:22">
      <c r="B46" s="33"/>
      <c r="C46" s="33"/>
      <c r="D46">
        <f t="shared" si="14"/>
        <v>39</v>
      </c>
      <c r="F46" s="33">
        <f t="shared" si="7"/>
        <v>4527.7491549197466</v>
      </c>
      <c r="G46" s="33">
        <f t="shared" si="8"/>
        <v>4116.1355953815873</v>
      </c>
      <c r="H46" s="142">
        <f t="shared" si="15"/>
        <v>83.660455976130748</v>
      </c>
      <c r="I46" s="142">
        <f t="shared" si="11"/>
        <v>49.736566302825373</v>
      </c>
      <c r="J46" s="141">
        <f t="shared" si="4"/>
        <v>33.923889673305375</v>
      </c>
      <c r="K46" s="33"/>
      <c r="L46" s="33">
        <f t="shared" si="9"/>
        <v>4527.7491549197466</v>
      </c>
      <c r="M46" s="33">
        <f t="shared" si="10"/>
        <v>4116.1355953815873</v>
      </c>
      <c r="N46" s="142">
        <f t="shared" si="12"/>
        <v>30.665210185592812</v>
      </c>
      <c r="O46" s="142">
        <f t="shared" si="13"/>
        <v>47.59270960954639</v>
      </c>
      <c r="P46" s="140">
        <f t="shared" si="5"/>
        <v>-16.927499423953577</v>
      </c>
      <c r="Q46" s="33"/>
      <c r="R46" s="33">
        <f t="shared" si="16"/>
        <v>4527.7491549197466</v>
      </c>
      <c r="S46" s="33">
        <f t="shared" si="17"/>
        <v>4116.1355953815873</v>
      </c>
      <c r="T46" s="33">
        <f t="shared" si="18"/>
        <v>57.16283308086178</v>
      </c>
      <c r="U46" s="33">
        <f t="shared" si="19"/>
        <v>48.664637956185885</v>
      </c>
      <c r="V46" s="140">
        <f t="shared" si="6"/>
        <v>8.4981951246758953</v>
      </c>
    </row>
    <row r="47" spans="2:22">
      <c r="B47" s="33"/>
      <c r="C47" s="33"/>
      <c r="D47">
        <f t="shared" si="14"/>
        <v>40</v>
      </c>
      <c r="F47" s="33">
        <f t="shared" si="7"/>
        <v>4754.136612665734</v>
      </c>
      <c r="G47" s="33">
        <f t="shared" si="8"/>
        <v>4321.9423751506665</v>
      </c>
      <c r="H47" s="142">
        <f t="shared" si="15"/>
        <v>87.843478774937282</v>
      </c>
      <c r="I47" s="142">
        <f t="shared" si="11"/>
        <v>52.123394617966639</v>
      </c>
      <c r="J47" s="141">
        <f t="shared" si="4"/>
        <v>35.720084156970643</v>
      </c>
      <c r="K47" s="33"/>
      <c r="L47" s="33">
        <f t="shared" si="9"/>
        <v>4754.136612665734</v>
      </c>
      <c r="M47" s="33">
        <f t="shared" si="10"/>
        <v>4321.9423751506665</v>
      </c>
      <c r="N47" s="142">
        <f t="shared" si="12"/>
        <v>32.198470694872448</v>
      </c>
      <c r="O47" s="142">
        <f t="shared" si="13"/>
        <v>49.82234509002371</v>
      </c>
      <c r="P47" s="140">
        <f t="shared" si="5"/>
        <v>-17.623874395151262</v>
      </c>
      <c r="Q47" s="33"/>
      <c r="R47" s="33">
        <f t="shared" si="16"/>
        <v>4754.136612665734</v>
      </c>
      <c r="S47" s="33">
        <f t="shared" si="17"/>
        <v>4321.9423751506665</v>
      </c>
      <c r="T47" s="33">
        <f t="shared" si="18"/>
        <v>60.020974734904868</v>
      </c>
      <c r="U47" s="33">
        <f t="shared" si="19"/>
        <v>50.972869853995178</v>
      </c>
      <c r="V47" s="140">
        <f t="shared" si="6"/>
        <v>9.0481048809096905</v>
      </c>
    </row>
    <row r="48" spans="2:22">
      <c r="B48" s="33"/>
      <c r="C48" s="33"/>
      <c r="D48">
        <f t="shared" si="14"/>
        <v>41</v>
      </c>
      <c r="F48" s="33">
        <f t="shared" si="7"/>
        <v>4991.8434432990207</v>
      </c>
      <c r="G48" s="33">
        <f t="shared" si="8"/>
        <v>4538.0394939081998</v>
      </c>
      <c r="H48" s="142">
        <f t="shared" si="15"/>
        <v>92.235652713684146</v>
      </c>
      <c r="I48" s="142">
        <f t="shared" si="11"/>
        <v>54.629564348864967</v>
      </c>
      <c r="J48" s="141">
        <f t="shared" si="4"/>
        <v>37.606088364819179</v>
      </c>
      <c r="K48" s="33"/>
      <c r="L48" s="33">
        <f t="shared" si="9"/>
        <v>4991.8434432990207</v>
      </c>
      <c r="M48" s="33">
        <f t="shared" si="10"/>
        <v>4538.0394939081998</v>
      </c>
      <c r="N48" s="142">
        <f t="shared" si="12"/>
        <v>33.80839422961607</v>
      </c>
      <c r="O48" s="142">
        <f t="shared" si="13"/>
        <v>52.163462344524895</v>
      </c>
      <c r="P48" s="140">
        <f t="shared" si="5"/>
        <v>-18.355068114908825</v>
      </c>
      <c r="Q48" s="33"/>
      <c r="R48" s="33">
        <f t="shared" si="16"/>
        <v>4991.8434432990207</v>
      </c>
      <c r="S48" s="33">
        <f t="shared" si="17"/>
        <v>4538.0394939081998</v>
      </c>
      <c r="T48" s="33">
        <f t="shared" si="18"/>
        <v>63.022023471650108</v>
      </c>
      <c r="U48" s="33">
        <f t="shared" si="19"/>
        <v>53.396513346694931</v>
      </c>
      <c r="V48" s="140">
        <f t="shared" si="6"/>
        <v>9.6255101249551771</v>
      </c>
    </row>
    <row r="49" spans="2:22">
      <c r="B49" s="33"/>
      <c r="C49" s="33"/>
      <c r="D49">
        <f t="shared" si="14"/>
        <v>42</v>
      </c>
      <c r="F49" s="33">
        <f t="shared" si="7"/>
        <v>5241.4356154639718</v>
      </c>
      <c r="G49" s="33">
        <f t="shared" si="8"/>
        <v>4764.9414686036098</v>
      </c>
      <c r="H49" s="142">
        <f t="shared" si="15"/>
        <v>96.847435349368354</v>
      </c>
      <c r="I49" s="142">
        <f t="shared" si="11"/>
        <v>57.26104256630822</v>
      </c>
      <c r="J49" s="141">
        <f t="shared" si="4"/>
        <v>39.586392783060134</v>
      </c>
      <c r="K49" s="33"/>
      <c r="L49" s="33">
        <f t="shared" si="9"/>
        <v>5241.4356154639718</v>
      </c>
      <c r="M49" s="33">
        <f t="shared" si="10"/>
        <v>4764.9414686036098</v>
      </c>
      <c r="N49" s="142">
        <f t="shared" si="12"/>
        <v>35.498813941096877</v>
      </c>
      <c r="O49" s="142">
        <f t="shared" si="13"/>
        <v>54.62163546175114</v>
      </c>
      <c r="P49" s="140">
        <f t="shared" si="5"/>
        <v>-19.122821520654263</v>
      </c>
      <c r="Q49" s="33"/>
      <c r="R49" s="33">
        <f t="shared" si="16"/>
        <v>5241.4356154639718</v>
      </c>
      <c r="S49" s="33">
        <f t="shared" si="17"/>
        <v>4764.9414686036098</v>
      </c>
      <c r="T49" s="33">
        <f t="shared" si="18"/>
        <v>66.173124645232619</v>
      </c>
      <c r="U49" s="33">
        <f t="shared" si="19"/>
        <v>55.94133901402968</v>
      </c>
      <c r="V49" s="140">
        <f t="shared" si="6"/>
        <v>10.231785631202939</v>
      </c>
    </row>
    <row r="50" spans="2:22">
      <c r="B50" s="33"/>
      <c r="C50" s="33"/>
      <c r="D50">
        <f t="shared" si="14"/>
        <v>43</v>
      </c>
      <c r="F50" s="33">
        <f t="shared" ref="F50:F67" si="20">F49*(1+$B$3)</f>
        <v>5503.5073962371707</v>
      </c>
      <c r="G50" s="33">
        <f t="shared" ref="G50:G67" si="21">G49*(1+$B$3)</f>
        <v>5003.1885420337903</v>
      </c>
      <c r="H50" s="142">
        <f t="shared" si="15"/>
        <v>101.68980711683676</v>
      </c>
      <c r="I50" s="142">
        <f t="shared" si="11"/>
        <v>60.024094694623628</v>
      </c>
      <c r="J50" s="141">
        <f t="shared" si="4"/>
        <v>41.665712422213133</v>
      </c>
      <c r="K50" s="33"/>
      <c r="L50" s="33">
        <f t="shared" ref="L50:L67" si="22">L49*(1+$B$3)</f>
        <v>5503.5073962371707</v>
      </c>
      <c r="M50" s="33">
        <f t="shared" ref="M50:M67" si="23">M49*(1+$B$3)</f>
        <v>5003.1885420337903</v>
      </c>
      <c r="N50" s="142">
        <f t="shared" si="12"/>
        <v>37.273754638151722</v>
      </c>
      <c r="O50" s="142">
        <f t="shared" si="13"/>
        <v>57.202717234838694</v>
      </c>
      <c r="P50" s="140">
        <f t="shared" si="5"/>
        <v>-19.928962596686972</v>
      </c>
      <c r="Q50" s="33"/>
      <c r="R50" s="33">
        <f t="shared" si="16"/>
        <v>5503.5073962371707</v>
      </c>
      <c r="S50" s="33">
        <f t="shared" si="17"/>
        <v>5003.1885420337903</v>
      </c>
      <c r="T50" s="33">
        <f t="shared" si="18"/>
        <v>69.481780877494245</v>
      </c>
      <c r="U50" s="33">
        <f t="shared" si="19"/>
        <v>58.613405964731157</v>
      </c>
      <c r="V50" s="140">
        <f t="shared" si="6"/>
        <v>10.868374912763088</v>
      </c>
    </row>
    <row r="51" spans="2:22">
      <c r="B51" s="33"/>
      <c r="C51" s="33"/>
      <c r="D51">
        <f t="shared" si="14"/>
        <v>44</v>
      </c>
      <c r="F51" s="33">
        <f t="shared" si="20"/>
        <v>5778.6827660490299</v>
      </c>
      <c r="G51" s="33">
        <f t="shared" si="21"/>
        <v>5253.3479691354796</v>
      </c>
      <c r="H51" s="142">
        <f t="shared" si="15"/>
        <v>106.7742974726786</v>
      </c>
      <c r="I51" s="142">
        <f t="shared" si="11"/>
        <v>62.925299429354808</v>
      </c>
      <c r="J51" s="141">
        <f t="shared" si="4"/>
        <v>43.848998043323789</v>
      </c>
      <c r="K51" s="33"/>
      <c r="L51" s="33">
        <f t="shared" si="22"/>
        <v>5778.6827660490299</v>
      </c>
      <c r="M51" s="33">
        <f t="shared" si="23"/>
        <v>5253.3479691354796</v>
      </c>
      <c r="N51" s="142">
        <f t="shared" si="12"/>
        <v>39.137442370059304</v>
      </c>
      <c r="O51" s="142">
        <f t="shared" si="13"/>
        <v>59.912853096580626</v>
      </c>
      <c r="P51" s="140">
        <f t="shared" si="5"/>
        <v>-20.775410726521322</v>
      </c>
      <c r="Q51" s="33"/>
      <c r="R51" s="33">
        <f t="shared" si="16"/>
        <v>5778.6827660490299</v>
      </c>
      <c r="S51" s="33">
        <f t="shared" si="17"/>
        <v>5253.3479691354796</v>
      </c>
      <c r="T51" s="33">
        <f t="shared" si="18"/>
        <v>72.955869921368958</v>
      </c>
      <c r="U51" s="33">
        <f t="shared" si="19"/>
        <v>61.419076262967721</v>
      </c>
      <c r="V51" s="140">
        <f t="shared" si="6"/>
        <v>11.536793658401237</v>
      </c>
    </row>
    <row r="52" spans="2:22">
      <c r="B52" s="33"/>
      <c r="C52" s="33"/>
      <c r="D52">
        <f t="shared" si="14"/>
        <v>45</v>
      </c>
      <c r="F52" s="33">
        <f t="shared" si="20"/>
        <v>6067.6169043514819</v>
      </c>
      <c r="G52" s="33">
        <f t="shared" si="21"/>
        <v>5516.0153675922538</v>
      </c>
      <c r="H52" s="142">
        <f t="shared" si="15"/>
        <v>112.11301234631253</v>
      </c>
      <c r="I52" s="142">
        <f t="shared" si="11"/>
        <v>65.971564400822558</v>
      </c>
      <c r="J52" s="141">
        <f t="shared" si="4"/>
        <v>46.141447945489972</v>
      </c>
      <c r="K52" s="33"/>
      <c r="L52" s="33">
        <f t="shared" si="22"/>
        <v>6067.6169043514819</v>
      </c>
      <c r="M52" s="33">
        <f t="shared" si="23"/>
        <v>5516.0153675922538</v>
      </c>
      <c r="N52" s="142">
        <f t="shared" si="12"/>
        <v>41.094314488562269</v>
      </c>
      <c r="O52" s="142">
        <f t="shared" si="13"/>
        <v>62.758495751409662</v>
      </c>
      <c r="P52" s="140">
        <f t="shared" si="5"/>
        <v>-21.664181262847393</v>
      </c>
      <c r="Q52" s="33"/>
      <c r="R52" s="33">
        <f t="shared" si="16"/>
        <v>6067.6169043514819</v>
      </c>
      <c r="S52" s="33">
        <f t="shared" si="17"/>
        <v>5516.0153675922538</v>
      </c>
      <c r="T52" s="33">
        <f t="shared" si="18"/>
        <v>76.603663417437403</v>
      </c>
      <c r="U52" s="33">
        <f t="shared" si="19"/>
        <v>64.365030076116113</v>
      </c>
      <c r="V52" s="140">
        <f t="shared" si="6"/>
        <v>12.23863334132129</v>
      </c>
    </row>
    <row r="53" spans="2:22">
      <c r="B53" s="33"/>
      <c r="C53" s="33"/>
      <c r="D53">
        <f t="shared" si="14"/>
        <v>46</v>
      </c>
      <c r="F53" s="33">
        <f t="shared" si="20"/>
        <v>6370.9977495690564</v>
      </c>
      <c r="G53" s="33">
        <f t="shared" si="21"/>
        <v>5791.816135971867</v>
      </c>
      <c r="H53" s="142">
        <f t="shared" si="15"/>
        <v>117.71866296362818</v>
      </c>
      <c r="I53" s="142">
        <f t="shared" si="11"/>
        <v>69.170142620863686</v>
      </c>
      <c r="J53" s="141">
        <f t="shared" si="4"/>
        <v>48.54852034276449</v>
      </c>
      <c r="K53" s="33"/>
      <c r="L53" s="33">
        <f t="shared" si="22"/>
        <v>6370.9977495690564</v>
      </c>
      <c r="M53" s="33">
        <f t="shared" si="23"/>
        <v>5791.816135971867</v>
      </c>
      <c r="N53" s="142">
        <f t="shared" si="12"/>
        <v>43.14903021299039</v>
      </c>
      <c r="O53" s="142">
        <f t="shared" si="13"/>
        <v>65.746420538980146</v>
      </c>
      <c r="P53" s="140">
        <f t="shared" si="5"/>
        <v>-22.597390325989757</v>
      </c>
      <c r="Q53" s="33"/>
      <c r="R53" s="33">
        <f t="shared" si="16"/>
        <v>6370.9977495690564</v>
      </c>
      <c r="S53" s="33">
        <f t="shared" si="17"/>
        <v>5791.816135971867</v>
      </c>
      <c r="T53" s="33">
        <f t="shared" si="18"/>
        <v>80.433846588309279</v>
      </c>
      <c r="U53" s="33">
        <f t="shared" si="19"/>
        <v>67.458281579921916</v>
      </c>
      <c r="V53" s="140">
        <f t="shared" si="6"/>
        <v>12.975565008387363</v>
      </c>
    </row>
    <row r="54" spans="2:22">
      <c r="B54" s="33"/>
      <c r="C54" s="33"/>
      <c r="D54">
        <f t="shared" si="14"/>
        <v>47</v>
      </c>
      <c r="F54" s="33">
        <f t="shared" si="20"/>
        <v>6689.5476370475099</v>
      </c>
      <c r="G54" s="33">
        <f t="shared" si="21"/>
        <v>6081.4069427704608</v>
      </c>
      <c r="H54" s="142">
        <f t="shared" si="15"/>
        <v>123.60459611180958</v>
      </c>
      <c r="I54" s="142">
        <f>-(G54*$C$70+$D$70+$E$70)</f>
        <v>72.528649751906869</v>
      </c>
      <c r="J54" s="141">
        <f t="shared" si="4"/>
        <v>51.075946359902716</v>
      </c>
      <c r="K54" s="33"/>
      <c r="L54" s="33">
        <f t="shared" si="22"/>
        <v>6689.5476370475099</v>
      </c>
      <c r="M54" s="33">
        <f t="shared" si="23"/>
        <v>6081.4069427704608</v>
      </c>
      <c r="N54" s="142">
        <f t="shared" si="12"/>
        <v>45.306481723639912</v>
      </c>
      <c r="O54" s="142">
        <f>-(M54*$C$71+$D$71+$E$71)</f>
        <v>68.883741565929157</v>
      </c>
      <c r="P54" s="140">
        <f t="shared" si="5"/>
        <v>-23.577259842289244</v>
      </c>
      <c r="Q54" s="33"/>
      <c r="R54" s="33">
        <f t="shared" si="16"/>
        <v>6689.5476370475099</v>
      </c>
      <c r="S54" s="33">
        <f t="shared" si="17"/>
        <v>6081.4069427704608</v>
      </c>
      <c r="T54" s="33">
        <f t="shared" si="18"/>
        <v>84.455538917724752</v>
      </c>
      <c r="U54" s="33">
        <f t="shared" si="19"/>
        <v>70.706195658918006</v>
      </c>
      <c r="V54" s="140">
        <f t="shared" si="6"/>
        <v>13.749343258806746</v>
      </c>
    </row>
    <row r="55" spans="2:22">
      <c r="B55" s="33"/>
      <c r="C55" s="33"/>
      <c r="D55">
        <f t="shared" si="14"/>
        <v>48</v>
      </c>
      <c r="F55" s="33">
        <f t="shared" si="20"/>
        <v>7024.0250188998853</v>
      </c>
      <c r="G55" s="33">
        <f t="shared" si="21"/>
        <v>6385.4772899089839</v>
      </c>
      <c r="H55" s="142">
        <f t="shared" si="15"/>
        <v>129.78482591740007</v>
      </c>
      <c r="I55" s="142">
        <f t="shared" si="11"/>
        <v>76.055082239502212</v>
      </c>
      <c r="J55" s="141">
        <f t="shared" si="4"/>
        <v>53.729743677897858</v>
      </c>
      <c r="K55" s="33"/>
      <c r="L55" s="33">
        <f t="shared" si="22"/>
        <v>7024.0250188998853</v>
      </c>
      <c r="M55" s="33">
        <f t="shared" si="23"/>
        <v>6385.4772899089839</v>
      </c>
      <c r="N55" s="142">
        <f t="shared" si="12"/>
        <v>47.57180580982191</v>
      </c>
      <c r="O55" s="142">
        <f t="shared" si="13"/>
        <v>72.177928644225616</v>
      </c>
      <c r="P55" s="140">
        <f t="shared" si="5"/>
        <v>-24.606122834403706</v>
      </c>
      <c r="Q55" s="33"/>
      <c r="R55" s="33">
        <f t="shared" si="16"/>
        <v>7024.0250188998853</v>
      </c>
      <c r="S55" s="33">
        <f t="shared" si="17"/>
        <v>6385.4772899089839</v>
      </c>
      <c r="T55" s="33">
        <f t="shared" si="18"/>
        <v>88.67831586361099</v>
      </c>
      <c r="U55" s="33">
        <f t="shared" si="19"/>
        <v>74.116505441863922</v>
      </c>
      <c r="V55" s="140">
        <f t="shared" si="6"/>
        <v>14.561810421747069</v>
      </c>
    </row>
    <row r="56" spans="2:22">
      <c r="B56" s="33"/>
      <c r="C56" s="33"/>
      <c r="D56">
        <f t="shared" si="14"/>
        <v>49</v>
      </c>
      <c r="F56" s="33">
        <f t="shared" si="20"/>
        <v>7375.2262698448794</v>
      </c>
      <c r="G56" s="33">
        <f t="shared" si="21"/>
        <v>6704.7511544044337</v>
      </c>
      <c r="H56" s="142">
        <f t="shared" si="15"/>
        <v>136.27406721327009</v>
      </c>
      <c r="I56" s="142">
        <f t="shared" si="11"/>
        <v>79.757836351477337</v>
      </c>
      <c r="J56" s="141">
        <f t="shared" si="4"/>
        <v>56.516230861792749</v>
      </c>
      <c r="K56" s="33"/>
      <c r="L56" s="33">
        <f t="shared" si="22"/>
        <v>7375.2262698448794</v>
      </c>
      <c r="M56" s="33">
        <f t="shared" si="23"/>
        <v>6704.7511544044337</v>
      </c>
      <c r="N56" s="142">
        <f t="shared" si="12"/>
        <v>49.950396100313007</v>
      </c>
      <c r="O56" s="142">
        <f t="shared" si="13"/>
        <v>75.636825076436907</v>
      </c>
      <c r="P56" s="140">
        <f t="shared" si="5"/>
        <v>-25.686428976123899</v>
      </c>
      <c r="Q56" s="33"/>
      <c r="R56" s="33">
        <f t="shared" si="16"/>
        <v>7375.2262698448794</v>
      </c>
      <c r="S56" s="33">
        <f t="shared" si="17"/>
        <v>6704.7511544044337</v>
      </c>
      <c r="T56" s="33">
        <f t="shared" si="18"/>
        <v>93.11223165679155</v>
      </c>
      <c r="U56" s="33">
        <f t="shared" si="19"/>
        <v>77.697330713957115</v>
      </c>
      <c r="V56" s="140">
        <f t="shared" si="6"/>
        <v>15.414900942834436</v>
      </c>
    </row>
    <row r="57" spans="2:22">
      <c r="B57" s="33"/>
      <c r="C57" s="33"/>
      <c r="D57">
        <f t="shared" si="14"/>
        <v>50</v>
      </c>
      <c r="F57" s="33">
        <f t="shared" si="20"/>
        <v>7743.9875833371234</v>
      </c>
      <c r="G57" s="33">
        <f t="shared" si="21"/>
        <v>7039.9887121246556</v>
      </c>
      <c r="H57" s="142">
        <f t="shared" si="15"/>
        <v>143.0877705739336</v>
      </c>
      <c r="I57" s="142">
        <f t="shared" si="11"/>
        <v>83.64572816905121</v>
      </c>
      <c r="J57" s="141">
        <f t="shared" si="4"/>
        <v>59.442042404882386</v>
      </c>
      <c r="K57" s="33"/>
      <c r="L57" s="33">
        <f t="shared" si="22"/>
        <v>7743.9875833371234</v>
      </c>
      <c r="M57" s="33">
        <f t="shared" si="23"/>
        <v>7039.9887121246556</v>
      </c>
      <c r="N57" s="142">
        <f t="shared" si="12"/>
        <v>52.447915905328664</v>
      </c>
      <c r="O57" s="142">
        <f t="shared" si="13"/>
        <v>79.268666330258753</v>
      </c>
      <c r="P57" s="140">
        <f t="shared" si="5"/>
        <v>-26.82075042493009</v>
      </c>
      <c r="Q57" s="33"/>
      <c r="R57" s="33">
        <f t="shared" si="16"/>
        <v>7743.9875833371234</v>
      </c>
      <c r="S57" s="33">
        <f t="shared" si="17"/>
        <v>7039.9887121246556</v>
      </c>
      <c r="T57" s="33">
        <f t="shared" si="18"/>
        <v>97.767843239631134</v>
      </c>
      <c r="U57" s="33">
        <f t="shared" si="19"/>
        <v>81.457197249654982</v>
      </c>
      <c r="V57" s="140">
        <f t="shared" si="6"/>
        <v>16.310645989976152</v>
      </c>
    </row>
    <row r="58" spans="2:22">
      <c r="B58" s="33"/>
      <c r="C58" s="33"/>
      <c r="D58">
        <f t="shared" si="14"/>
        <v>51</v>
      </c>
      <c r="F58" s="33">
        <f t="shared" si="20"/>
        <v>8131.1869625039799</v>
      </c>
      <c r="G58" s="33">
        <f t="shared" si="21"/>
        <v>7391.9881477308891</v>
      </c>
      <c r="H58" s="142">
        <f t="shared" si="15"/>
        <v>150.2421591026303</v>
      </c>
      <c r="I58" s="142">
        <f t="shared" si="11"/>
        <v>87.728014577503771</v>
      </c>
      <c r="J58" s="141">
        <f t="shared" si="4"/>
        <v>62.514144525126525</v>
      </c>
      <c r="K58" s="33"/>
      <c r="L58" s="33">
        <f t="shared" si="22"/>
        <v>8131.1869625039799</v>
      </c>
      <c r="M58" s="33">
        <f t="shared" si="23"/>
        <v>7391.9881477308891</v>
      </c>
      <c r="N58" s="142">
        <f t="shared" si="12"/>
        <v>55.070311700595099</v>
      </c>
      <c r="O58" s="142">
        <f t="shared" si="13"/>
        <v>83.082099646771709</v>
      </c>
      <c r="P58" s="140">
        <f t="shared" si="5"/>
        <v>-28.011787946176611</v>
      </c>
      <c r="Q58" s="33"/>
      <c r="R58" s="33">
        <f t="shared" si="16"/>
        <v>8131.1869625039799</v>
      </c>
      <c r="S58" s="33">
        <f t="shared" si="17"/>
        <v>7391.9881477308891</v>
      </c>
      <c r="T58" s="33">
        <f t="shared" si="18"/>
        <v>102.65623540161269</v>
      </c>
      <c r="U58" s="33">
        <f t="shared" si="19"/>
        <v>85.40505711213774</v>
      </c>
      <c r="V58" s="140">
        <f t="shared" si="6"/>
        <v>17.25117828947495</v>
      </c>
    </row>
    <row r="59" spans="2:22">
      <c r="B59" s="33"/>
      <c r="C59" s="33"/>
      <c r="D59">
        <f t="shared" si="14"/>
        <v>52</v>
      </c>
      <c r="F59" s="33">
        <f t="shared" si="20"/>
        <v>8537.7463106291798</v>
      </c>
      <c r="G59" s="33">
        <f t="shared" si="21"/>
        <v>7761.587555117434</v>
      </c>
      <c r="H59" s="142">
        <f t="shared" si="15"/>
        <v>157.75426705776181</v>
      </c>
      <c r="I59" s="142">
        <f t="shared" si="11"/>
        <v>92.014415306378964</v>
      </c>
      <c r="J59" s="141">
        <f t="shared" si="4"/>
        <v>65.739851751382844</v>
      </c>
      <c r="K59" s="33"/>
      <c r="L59" s="33">
        <f t="shared" si="22"/>
        <v>8537.7463106291798</v>
      </c>
      <c r="M59" s="33">
        <f t="shared" si="23"/>
        <v>7761.587555117434</v>
      </c>
      <c r="N59" s="142">
        <f t="shared" si="12"/>
        <v>57.823827285624859</v>
      </c>
      <c r="O59" s="142">
        <f t="shared" si="13"/>
        <v>87.086204629110298</v>
      </c>
      <c r="P59" s="140">
        <f t="shared" si="5"/>
        <v>-29.26237734348544</v>
      </c>
      <c r="Q59" s="33"/>
      <c r="R59" s="33">
        <f t="shared" si="16"/>
        <v>8537.7463106291798</v>
      </c>
      <c r="S59" s="33">
        <f t="shared" si="17"/>
        <v>7761.587555117434</v>
      </c>
      <c r="T59" s="33">
        <f t="shared" si="18"/>
        <v>107.78904717169334</v>
      </c>
      <c r="U59" s="33">
        <f t="shared" si="19"/>
        <v>89.550309967744624</v>
      </c>
      <c r="V59" s="140">
        <f t="shared" si="6"/>
        <v>18.238737203948716</v>
      </c>
    </row>
    <row r="60" spans="2:22">
      <c r="B60" s="33"/>
      <c r="C60" s="33"/>
      <c r="D60">
        <f t="shared" si="14"/>
        <v>53</v>
      </c>
      <c r="F60" s="33">
        <f t="shared" si="20"/>
        <v>8964.6336261606393</v>
      </c>
      <c r="G60" s="33">
        <f t="shared" si="21"/>
        <v>8149.666932873306</v>
      </c>
      <c r="H60" s="142">
        <f t="shared" si="15"/>
        <v>165.64198041064992</v>
      </c>
      <c r="I60" s="142">
        <f t="shared" si="11"/>
        <v>96.515136071697924</v>
      </c>
      <c r="J60" s="141">
        <f t="shared" si="4"/>
        <v>69.126844338951997</v>
      </c>
      <c r="K60" s="33"/>
      <c r="L60" s="33">
        <f t="shared" si="22"/>
        <v>8964.6336261606393</v>
      </c>
      <c r="M60" s="33">
        <f t="shared" si="23"/>
        <v>8149.666932873306</v>
      </c>
      <c r="N60" s="142">
        <f t="shared" si="12"/>
        <v>60.715018649906099</v>
      </c>
      <c r="O60" s="142">
        <f t="shared" si="13"/>
        <v>91.290514860565807</v>
      </c>
      <c r="P60" s="140">
        <f t="shared" si="5"/>
        <v>-30.575496210659708</v>
      </c>
      <c r="Q60" s="33"/>
      <c r="R60" s="33">
        <f t="shared" si="16"/>
        <v>8964.6336261606393</v>
      </c>
      <c r="S60" s="33">
        <f t="shared" si="17"/>
        <v>8149.666932873306</v>
      </c>
      <c r="T60" s="33">
        <f t="shared" si="18"/>
        <v>113.178499530278</v>
      </c>
      <c r="U60" s="33">
        <f t="shared" si="19"/>
        <v>93.902825466131873</v>
      </c>
      <c r="V60" s="140">
        <f t="shared" si="6"/>
        <v>19.275674064146131</v>
      </c>
    </row>
    <row r="61" spans="2:22">
      <c r="B61" s="33"/>
      <c r="C61" s="33"/>
      <c r="D61">
        <f t="shared" si="14"/>
        <v>54</v>
      </c>
      <c r="F61" s="33">
        <f t="shared" si="20"/>
        <v>9412.8653074686717</v>
      </c>
      <c r="G61" s="33">
        <f t="shared" si="21"/>
        <v>8557.1502795169708</v>
      </c>
      <c r="H61" s="142">
        <f t="shared" si="15"/>
        <v>173.92407943118241</v>
      </c>
      <c r="I61" s="142">
        <f t="shared" si="11"/>
        <v>101.24089287528281</v>
      </c>
      <c r="J61" s="141">
        <f t="shared" si="4"/>
        <v>72.683186555899596</v>
      </c>
      <c r="K61" s="33"/>
      <c r="L61" s="33">
        <f t="shared" si="22"/>
        <v>9412.8653074686717</v>
      </c>
      <c r="M61" s="33">
        <f t="shared" si="23"/>
        <v>8557.1502795169708</v>
      </c>
      <c r="N61" s="142">
        <f t="shared" si="12"/>
        <v>63.750769582401404</v>
      </c>
      <c r="O61" s="142">
        <f t="shared" si="13"/>
        <v>95.705040603594099</v>
      </c>
      <c r="P61" s="140">
        <f t="shared" si="5"/>
        <v>-31.954271021192696</v>
      </c>
      <c r="Q61" s="33"/>
      <c r="R61" s="33">
        <f t="shared" si="16"/>
        <v>9412.8653074686717</v>
      </c>
      <c r="S61" s="33">
        <f t="shared" si="17"/>
        <v>8557.1502795169708</v>
      </c>
      <c r="T61" s="33">
        <f t="shared" si="18"/>
        <v>118.8374245067919</v>
      </c>
      <c r="U61" s="33">
        <f t="shared" si="19"/>
        <v>98.472966739438448</v>
      </c>
      <c r="V61" s="140">
        <f t="shared" si="6"/>
        <v>20.364457767353457</v>
      </c>
    </row>
    <row r="62" spans="2:22">
      <c r="B62" s="33"/>
      <c r="C62" s="33"/>
      <c r="D62">
        <f t="shared" si="14"/>
        <v>55</v>
      </c>
      <c r="F62" s="33">
        <f t="shared" si="20"/>
        <v>9883.5085728421054</v>
      </c>
      <c r="G62" s="33">
        <f t="shared" si="21"/>
        <v>8985.0077934928195</v>
      </c>
      <c r="H62" s="142">
        <f t="shared" si="15"/>
        <v>182.62028340274151</v>
      </c>
      <c r="I62" s="142">
        <f t="shared" si="11"/>
        <v>106.20293751904696</v>
      </c>
      <c r="J62" s="141">
        <f t="shared" si="4"/>
        <v>76.417345883694551</v>
      </c>
      <c r="K62" s="33"/>
      <c r="L62" s="33">
        <f t="shared" si="22"/>
        <v>9883.5085728421054</v>
      </c>
      <c r="M62" s="33">
        <f t="shared" si="23"/>
        <v>8985.0077934928195</v>
      </c>
      <c r="N62" s="142">
        <f t="shared" si="12"/>
        <v>66.938308061521468</v>
      </c>
      <c r="O62" s="142">
        <f t="shared" si="13"/>
        <v>100.3402926337738</v>
      </c>
      <c r="P62" s="140">
        <f t="shared" si="5"/>
        <v>-33.401984572252331</v>
      </c>
      <c r="Q62" s="33"/>
      <c r="R62" s="33">
        <f t="shared" si="16"/>
        <v>9883.5085728421054</v>
      </c>
      <c r="S62" s="33">
        <f t="shared" si="17"/>
        <v>8985.0077934928195</v>
      </c>
      <c r="T62" s="33">
        <f t="shared" si="18"/>
        <v>124.77929573213149</v>
      </c>
      <c r="U62" s="33">
        <f t="shared" si="19"/>
        <v>103.27161507641037</v>
      </c>
      <c r="V62" s="140">
        <f t="shared" si="6"/>
        <v>21.507680655721117</v>
      </c>
    </row>
    <row r="63" spans="2:22">
      <c r="B63" s="33"/>
      <c r="C63" s="33"/>
      <c r="D63">
        <f t="shared" si="14"/>
        <v>56</v>
      </c>
      <c r="F63" s="33">
        <f t="shared" si="20"/>
        <v>10377.684001484211</v>
      </c>
      <c r="G63" s="33">
        <f t="shared" si="21"/>
        <v>9434.2581831674615</v>
      </c>
      <c r="H63" s="142">
        <f t="shared" si="15"/>
        <v>191.75129757287863</v>
      </c>
      <c r="I63" s="142">
        <f t="shared" si="11"/>
        <v>111.41308439499932</v>
      </c>
      <c r="J63" s="141">
        <f t="shared" si="4"/>
        <v>80.338213177879311</v>
      </c>
      <c r="K63" s="33"/>
      <c r="L63" s="33">
        <f t="shared" si="22"/>
        <v>10377.684001484211</v>
      </c>
      <c r="M63" s="33">
        <f t="shared" si="23"/>
        <v>9434.2581831674615</v>
      </c>
      <c r="N63" s="142">
        <f t="shared" si="12"/>
        <v>70.28522346459755</v>
      </c>
      <c r="O63" s="142">
        <f t="shared" si="13"/>
        <v>105.2073072654625</v>
      </c>
      <c r="P63" s="140">
        <f t="shared" si="5"/>
        <v>-34.922083800864954</v>
      </c>
      <c r="Q63" s="33"/>
      <c r="R63" s="33">
        <f t="shared" si="16"/>
        <v>10377.684001484211</v>
      </c>
      <c r="S63" s="33">
        <f t="shared" si="17"/>
        <v>9434.2581831674615</v>
      </c>
      <c r="T63" s="33">
        <f t="shared" si="18"/>
        <v>131.01826051873809</v>
      </c>
      <c r="U63" s="33">
        <f t="shared" si="19"/>
        <v>108.31019583023091</v>
      </c>
      <c r="V63" s="140">
        <f t="shared" si="6"/>
        <v>22.708064688507179</v>
      </c>
    </row>
    <row r="64" spans="2:22">
      <c r="B64" s="33"/>
      <c r="C64" s="33"/>
      <c r="D64">
        <f t="shared" si="14"/>
        <v>57</v>
      </c>
      <c r="F64" s="33">
        <f t="shared" si="20"/>
        <v>10896.568201558423</v>
      </c>
      <c r="G64" s="33">
        <f t="shared" si="21"/>
        <v>9905.9710923258353</v>
      </c>
      <c r="H64" s="142">
        <f t="shared" si="15"/>
        <v>201.33886245152257</v>
      </c>
      <c r="I64" s="142">
        <f t="shared" si="11"/>
        <v>116.88373861474929</v>
      </c>
      <c r="J64" s="141">
        <f t="shared" si="4"/>
        <v>84.455123836773282</v>
      </c>
      <c r="K64" s="33"/>
      <c r="L64" s="33">
        <f t="shared" si="22"/>
        <v>10896.568201558423</v>
      </c>
      <c r="M64" s="33">
        <f t="shared" si="23"/>
        <v>9905.9710923258353</v>
      </c>
      <c r="N64" s="142">
        <f t="shared" si="12"/>
        <v>73.799484637827433</v>
      </c>
      <c r="O64" s="142">
        <f t="shared" si="13"/>
        <v>110.31767262873564</v>
      </c>
      <c r="P64" s="140">
        <f t="shared" si="5"/>
        <v>-36.518187990908203</v>
      </c>
      <c r="Q64" s="33"/>
      <c r="R64" s="33">
        <f t="shared" si="16"/>
        <v>10896.568201558423</v>
      </c>
      <c r="S64" s="33">
        <f t="shared" si="17"/>
        <v>9905.9710923258353</v>
      </c>
      <c r="T64" s="33">
        <f t="shared" si="18"/>
        <v>137.56917354467501</v>
      </c>
      <c r="U64" s="33">
        <f t="shared" si="19"/>
        <v>113.60070562174246</v>
      </c>
      <c r="V64" s="140">
        <f t="shared" si="6"/>
        <v>23.968467922932547</v>
      </c>
    </row>
    <row r="65" spans="1:22">
      <c r="B65" s="33"/>
      <c r="C65" s="33"/>
      <c r="D65">
        <f t="shared" si="14"/>
        <v>58</v>
      </c>
      <c r="F65" s="33">
        <f t="shared" si="20"/>
        <v>11441.396611636344</v>
      </c>
      <c r="G65" s="33">
        <f t="shared" si="21"/>
        <v>10401.269646942128</v>
      </c>
      <c r="H65" s="142">
        <f t="shared" si="15"/>
        <v>211.40580557409871</v>
      </c>
      <c r="I65" s="142">
        <f t="shared" si="11"/>
        <v>122.62792554548676</v>
      </c>
      <c r="J65" s="141">
        <f t="shared" si="4"/>
        <v>88.777880028611946</v>
      </c>
      <c r="K65" s="33"/>
      <c r="L65" s="33">
        <f t="shared" si="22"/>
        <v>11441.396611636344</v>
      </c>
      <c r="M65" s="33">
        <f t="shared" si="23"/>
        <v>10401.269646942128</v>
      </c>
      <c r="N65" s="142">
        <f t="shared" si="12"/>
        <v>77.489458869718817</v>
      </c>
      <c r="O65" s="142">
        <f t="shared" si="13"/>
        <v>115.68355626017242</v>
      </c>
      <c r="P65" s="140">
        <f t="shared" si="5"/>
        <v>-38.194097390453607</v>
      </c>
      <c r="Q65" s="33"/>
      <c r="R65" s="33">
        <f t="shared" si="16"/>
        <v>11441.396611636344</v>
      </c>
      <c r="S65" s="33">
        <f t="shared" si="17"/>
        <v>10401.269646942128</v>
      </c>
      <c r="T65" s="33">
        <f t="shared" si="18"/>
        <v>144.44763222190875</v>
      </c>
      <c r="U65" s="33">
        <f t="shared" si="19"/>
        <v>119.15574090282959</v>
      </c>
      <c r="V65" s="140">
        <f t="shared" si="6"/>
        <v>25.291891319079156</v>
      </c>
    </row>
    <row r="66" spans="1:22">
      <c r="B66" s="33"/>
      <c r="C66" s="33"/>
      <c r="D66">
        <f t="shared" si="14"/>
        <v>59</v>
      </c>
      <c r="F66" s="33">
        <f t="shared" si="20"/>
        <v>12013.466442218161</v>
      </c>
      <c r="G66" s="33">
        <f t="shared" si="21"/>
        <v>10921.333129289234</v>
      </c>
      <c r="H66" s="142">
        <f t="shared" si="15"/>
        <v>221.97609585280364</v>
      </c>
      <c r="I66" s="142">
        <f t="shared" si="11"/>
        <v>128.65932182276111</v>
      </c>
      <c r="J66" s="141">
        <f t="shared" si="4"/>
        <v>93.316774030042524</v>
      </c>
      <c r="K66" s="33"/>
      <c r="L66" s="33">
        <f t="shared" si="22"/>
        <v>12013.466442218161</v>
      </c>
      <c r="M66" s="33">
        <f t="shared" si="23"/>
        <v>10921.333129289234</v>
      </c>
      <c r="N66" s="142">
        <f t="shared" si="12"/>
        <v>81.363931813204758</v>
      </c>
      <c r="O66" s="142">
        <f t="shared" si="13"/>
        <v>121.31773407318106</v>
      </c>
      <c r="P66" s="140">
        <f t="shared" si="5"/>
        <v>-39.9538022599763</v>
      </c>
      <c r="Q66" s="33"/>
      <c r="R66" s="33">
        <f t="shared" si="16"/>
        <v>12013.466442218161</v>
      </c>
      <c r="S66" s="33">
        <f t="shared" si="17"/>
        <v>10921.333129289234</v>
      </c>
      <c r="T66" s="33">
        <f t="shared" si="18"/>
        <v>151.67001383300419</v>
      </c>
      <c r="U66" s="33">
        <f t="shared" si="19"/>
        <v>124.98852794797108</v>
      </c>
      <c r="V66" s="140">
        <f t="shared" si="6"/>
        <v>26.681485885033112</v>
      </c>
    </row>
    <row r="67" spans="1:22">
      <c r="B67" s="33"/>
      <c r="C67" s="33"/>
      <c r="D67">
        <f t="shared" si="14"/>
        <v>60</v>
      </c>
      <c r="F67" s="33">
        <f t="shared" si="20"/>
        <v>12614.139764329069</v>
      </c>
      <c r="G67" s="33">
        <f t="shared" si="21"/>
        <v>11467.399785753696</v>
      </c>
      <c r="H67" s="142">
        <f>G67*$B$70</f>
        <v>233.07490064544382</v>
      </c>
      <c r="I67" s="142">
        <f t="shared" si="11"/>
        <v>134.99228791389916</v>
      </c>
      <c r="J67" s="141">
        <f t="shared" si="4"/>
        <v>98.082612731544657</v>
      </c>
      <c r="K67" s="33"/>
      <c r="L67" s="33">
        <f t="shared" si="22"/>
        <v>12614.139764329069</v>
      </c>
      <c r="M67" s="33">
        <f t="shared" si="23"/>
        <v>11467.399785753696</v>
      </c>
      <c r="N67" s="142">
        <f t="shared" si="12"/>
        <v>85.432128403864994</v>
      </c>
      <c r="O67" s="142">
        <f t="shared" si="13"/>
        <v>127.2336207768401</v>
      </c>
      <c r="P67" s="140">
        <f t="shared" si="5"/>
        <v>-41.801492372975105</v>
      </c>
      <c r="Q67" s="33"/>
      <c r="R67" s="33">
        <f t="shared" si="16"/>
        <v>12614.139764329069</v>
      </c>
      <c r="S67" s="33">
        <f t="shared" si="17"/>
        <v>11467.399785753696</v>
      </c>
      <c r="T67" s="33">
        <f t="shared" si="18"/>
        <v>159.25351452465441</v>
      </c>
      <c r="U67" s="33">
        <f t="shared" si="19"/>
        <v>131.11295434536964</v>
      </c>
      <c r="V67" s="140">
        <f t="shared" si="6"/>
        <v>28.140560179284762</v>
      </c>
    </row>
    <row r="68" spans="1:22">
      <c r="J68" s="66">
        <f>J67/H67</f>
        <v>0.42082014176528187</v>
      </c>
      <c r="T68" s="21" t="s">
        <v>61</v>
      </c>
      <c r="V68" s="66">
        <f>V67/T67</f>
        <v>0.17670291461560339</v>
      </c>
    </row>
    <row r="69" spans="1:22">
      <c r="B69" t="s">
        <v>132</v>
      </c>
      <c r="C69" s="32" t="s">
        <v>134</v>
      </c>
      <c r="D69" t="s">
        <v>210</v>
      </c>
      <c r="E69" s="32" t="s">
        <v>123</v>
      </c>
    </row>
    <row r="70" spans="1:22">
      <c r="A70" t="s">
        <v>135</v>
      </c>
      <c r="B70" s="22">
        <f>'Model-1-Low'!P28</f>
        <v>2.0324999999999996E-2</v>
      </c>
      <c r="C70" s="59">
        <f>'Model-1-Low'!D49</f>
        <v>-1.1597423164675881E-2</v>
      </c>
      <c r="D70">
        <v>0</v>
      </c>
      <c r="E70" s="10">
        <f>'Model-1-Low'!N40/1000000</f>
        <v>-2</v>
      </c>
    </row>
    <row r="71" spans="1:22">
      <c r="A71" t="s">
        <v>136</v>
      </c>
      <c r="B71" s="22">
        <f>'ReinvestNon-Bank-High'!P28</f>
        <v>7.4499999999999966E-3</v>
      </c>
      <c r="C71" s="59">
        <f>'ReinvestNon-Bank-High'!D49</f>
        <v>-1.0833634747013822E-2</v>
      </c>
      <c r="D71">
        <v>0</v>
      </c>
      <c r="E71" s="10">
        <f>'ReinvestNon-Bank-High'!N40/1000000</f>
        <v>-3</v>
      </c>
    </row>
    <row r="72" spans="1:22">
      <c r="A72" s="2" t="s">
        <v>137</v>
      </c>
      <c r="B72" s="137">
        <f>AVERAGE(B70:B71)</f>
        <v>1.3887499999999997E-2</v>
      </c>
      <c r="C72" s="137">
        <f>AVERAGE(C70:C71)</f>
        <v>-1.1215528955844852E-2</v>
      </c>
      <c r="D72" s="138">
        <f t="shared" ref="D72:E72" si="24">AVERAGE(D70:D71)</f>
        <v>0</v>
      </c>
      <c r="E72" s="138">
        <f t="shared" si="24"/>
        <v>-2.5</v>
      </c>
    </row>
  </sheetData>
  <pageMargins left="0.7" right="0.7" top="0.75" bottom="0.75" header="0.3" footer="0.3"/>
  <pageSetup scale="36" orientation="landscape" r:id="rId1"/>
  <colBreaks count="1" manualBreakCount="1">
    <brk id="20" max="8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20533-DFA0-A644-8376-86FB686C7FC6}">
  <sheetPr>
    <tabColor rgb="FF00B050"/>
  </sheetPr>
  <dimension ref="A1:AG127"/>
  <sheetViews>
    <sheetView showGridLines="0" topLeftCell="A25" zoomScale="85" zoomScaleNormal="85" zoomScaleSheetLayoutView="82" zoomScalePageLayoutView="96" workbookViewId="0">
      <selection activeCell="H53" sqref="H53"/>
    </sheetView>
  </sheetViews>
  <sheetFormatPr defaultColWidth="10.625" defaultRowHeight="15.75" outlineLevelRow="1" outlineLevelCol="1"/>
  <cols>
    <col min="1" max="1" width="3.375" customWidth="1"/>
    <col min="2" max="2" width="36.5" customWidth="1"/>
    <col min="3" max="3" width="3.125" customWidth="1"/>
    <col min="4" max="4" width="14.625" customWidth="1"/>
    <col min="5" max="5" width="2.625" customWidth="1"/>
    <col min="6" max="6" width="14.625" customWidth="1"/>
    <col min="7" max="7" width="2.625" customWidth="1"/>
    <col min="8" max="8" width="12.875" customWidth="1"/>
    <col min="9" max="9" width="2.625" customWidth="1"/>
    <col min="10" max="10" width="12.875" hidden="1" customWidth="1" outlineLevel="1"/>
    <col min="11" max="11" width="2.625" hidden="1" customWidth="1" outlineLevel="1"/>
    <col min="12" max="12" width="12.875" hidden="1" customWidth="1" outlineLevel="1"/>
    <col min="13" max="13" width="2.375" hidden="1" customWidth="1" outlineLevel="1"/>
    <col min="14" max="14" width="13.875" customWidth="1" collapsed="1"/>
    <col min="15" max="15" width="2.875" customWidth="1"/>
    <col min="16" max="16" width="15.5" customWidth="1"/>
    <col min="17" max="18" width="2.875" customWidth="1"/>
    <col min="19" max="19" width="30.625" customWidth="1"/>
    <col min="20" max="20" width="16.5" customWidth="1"/>
    <col min="21" max="21" width="15.375" customWidth="1"/>
    <col min="22" max="22" width="12.375" customWidth="1"/>
    <col min="23" max="23" width="13.5" customWidth="1"/>
    <col min="24" max="24" width="13.875" customWidth="1"/>
    <col min="25" max="25" width="13.5" customWidth="1"/>
    <col min="26" max="26" width="14.875" customWidth="1"/>
    <col min="27" max="27" width="13.375" customWidth="1"/>
    <col min="28" max="29" width="13.625" customWidth="1"/>
    <col min="30" max="30" width="14.875" customWidth="1"/>
    <col min="31" max="31" width="4.5" customWidth="1"/>
    <col min="32" max="32" width="13.625" customWidth="1"/>
    <col min="33" max="33" width="2.625" customWidth="1"/>
    <col min="34" max="34" width="15" customWidth="1"/>
  </cols>
  <sheetData>
    <row r="1" spans="1:23" s="69" customFormat="1" ht="18.75">
      <c r="A1" s="278" t="s">
        <v>242</v>
      </c>
    </row>
    <row r="3" spans="1:23">
      <c r="B3" s="4" t="s">
        <v>209</v>
      </c>
      <c r="S3" s="4" t="s">
        <v>152</v>
      </c>
      <c r="T3" s="4"/>
    </row>
    <row r="4" spans="1:23" s="7" customFormat="1" ht="47.25">
      <c r="D4" s="11" t="s">
        <v>17</v>
      </c>
      <c r="F4" s="11" t="s">
        <v>59</v>
      </c>
      <c r="H4" s="11" t="s">
        <v>87</v>
      </c>
      <c r="J4" s="11"/>
      <c r="L4" s="11" t="s">
        <v>105</v>
      </c>
      <c r="N4" s="11" t="s">
        <v>104</v>
      </c>
      <c r="P4" s="12" t="s">
        <v>100</v>
      </c>
    </row>
    <row r="5" spans="1:23">
      <c r="P5" s="13"/>
      <c r="S5" t="s">
        <v>28</v>
      </c>
      <c r="T5" s="10">
        <f>P6</f>
        <v>1016729436.1661481</v>
      </c>
    </row>
    <row r="6" spans="1:23">
      <c r="B6" s="244" t="s">
        <v>28</v>
      </c>
      <c r="C6" s="244"/>
      <c r="D6" s="246">
        <f>D11/(1-D8)</f>
        <v>862944162.43654823</v>
      </c>
      <c r="E6" s="244"/>
      <c r="F6" s="246">
        <f>F11/(1-F8)</f>
        <v>126903553.29949239</v>
      </c>
      <c r="G6" s="244"/>
      <c r="H6" s="246">
        <f>H11/(1-H8)</f>
        <v>26881720.43010753</v>
      </c>
      <c r="I6" s="244"/>
      <c r="J6" s="244"/>
      <c r="K6" s="244"/>
      <c r="L6" s="244"/>
      <c r="M6" s="244"/>
      <c r="N6" s="244"/>
      <c r="O6" s="244"/>
      <c r="P6" s="247">
        <f>D6+J6+L6+N6+F6+H6</f>
        <v>1016729436.1661481</v>
      </c>
      <c r="S6" s="5" t="s">
        <v>68</v>
      </c>
      <c r="T6" s="82">
        <f>P7</f>
        <v>-16729436.166148135</v>
      </c>
      <c r="U6" s="21">
        <f>T6/T5</f>
        <v>-1.6454167225875723E-2</v>
      </c>
      <c r="V6" t="s">
        <v>71</v>
      </c>
    </row>
    <row r="7" spans="1:23">
      <c r="B7" s="244" t="s">
        <v>66</v>
      </c>
      <c r="C7" s="244"/>
      <c r="D7" s="246">
        <f>-D6*D8</f>
        <v>-12944162.436548224</v>
      </c>
      <c r="E7" s="244"/>
      <c r="F7" s="246">
        <f>-F6*F8</f>
        <v>-1903553.2994923857</v>
      </c>
      <c r="G7" s="244"/>
      <c r="H7" s="246">
        <f>-H6*H8</f>
        <v>-1881720.4301075272</v>
      </c>
      <c r="I7" s="244"/>
      <c r="J7" s="244"/>
      <c r="K7" s="244"/>
      <c r="L7" s="244"/>
      <c r="M7" s="244"/>
      <c r="N7" s="244"/>
      <c r="O7" s="244"/>
      <c r="P7" s="247">
        <f>D7+J7+L7+N7+F7+H7</f>
        <v>-16729436.166148135</v>
      </c>
      <c r="S7" s="10" t="s">
        <v>20</v>
      </c>
      <c r="T7" s="10">
        <f>T5+T6</f>
        <v>999999999.99999988</v>
      </c>
      <c r="U7" s="9"/>
    </row>
    <row r="8" spans="1:23">
      <c r="B8" s="244" t="s">
        <v>67</v>
      </c>
      <c r="C8" s="244"/>
      <c r="D8" s="248">
        <f>1.5%</f>
        <v>1.4999999999999999E-2</v>
      </c>
      <c r="E8" s="245"/>
      <c r="F8" s="248">
        <f>1.5%</f>
        <v>1.4999999999999999E-2</v>
      </c>
      <c r="G8" s="245"/>
      <c r="H8" s="249">
        <v>7.0000000000000007E-2</v>
      </c>
      <c r="I8" s="244"/>
      <c r="J8" s="244"/>
      <c r="K8" s="244"/>
      <c r="L8" s="244"/>
      <c r="M8" s="244"/>
      <c r="N8" s="244"/>
      <c r="O8" s="244"/>
      <c r="P8" s="224">
        <f>-P7/P6</f>
        <v>1.6454167225875723E-2</v>
      </c>
      <c r="U8" s="9"/>
    </row>
    <row r="9" spans="1:23">
      <c r="B9" s="190" t="s">
        <v>20</v>
      </c>
      <c r="C9" s="244" t="s">
        <v>4</v>
      </c>
      <c r="D9" s="33">
        <f>D6+D7</f>
        <v>850000000</v>
      </c>
      <c r="E9" s="244"/>
      <c r="F9" s="33">
        <f>F6+F7</f>
        <v>125000000</v>
      </c>
      <c r="G9" s="244"/>
      <c r="H9" s="33">
        <f>H6+H7</f>
        <v>25000000.000000004</v>
      </c>
      <c r="I9" s="244"/>
      <c r="J9" s="244"/>
      <c r="K9" s="244"/>
      <c r="L9" s="244"/>
      <c r="M9" s="244"/>
      <c r="N9" s="244"/>
      <c r="O9" s="244"/>
      <c r="P9" s="250">
        <f>D9+J9+L9+N9+F9+H9</f>
        <v>1000000000</v>
      </c>
      <c r="S9" t="s">
        <v>70</v>
      </c>
      <c r="T9" s="10">
        <f>U9*T7</f>
        <v>100000000</v>
      </c>
      <c r="U9" s="9">
        <v>0.1</v>
      </c>
      <c r="V9" t="s">
        <v>72</v>
      </c>
      <c r="W9" t="s">
        <v>103</v>
      </c>
    </row>
    <row r="10" spans="1:23">
      <c r="B10" s="244"/>
      <c r="C10" s="244"/>
      <c r="D10" s="33"/>
      <c r="E10" s="244"/>
      <c r="F10" s="33"/>
      <c r="G10" s="244"/>
      <c r="H10" s="33"/>
      <c r="I10" s="244"/>
      <c r="J10" s="244"/>
      <c r="K10" s="244"/>
      <c r="L10" s="244"/>
      <c r="M10" s="244"/>
      <c r="N10" s="244"/>
      <c r="O10" s="244"/>
      <c r="P10" s="251"/>
    </row>
    <row r="11" spans="1:23">
      <c r="B11" s="43" t="s">
        <v>20</v>
      </c>
      <c r="C11" s="43"/>
      <c r="D11" s="196">
        <v>850000000</v>
      </c>
      <c r="E11" s="196"/>
      <c r="F11" s="196">
        <v>125000000</v>
      </c>
      <c r="G11" s="196"/>
      <c r="H11" s="196">
        <v>25000000</v>
      </c>
      <c r="I11" s="196"/>
      <c r="J11" s="196"/>
      <c r="K11" s="196"/>
      <c r="L11" s="196"/>
      <c r="M11" s="43"/>
      <c r="N11" s="43"/>
      <c r="O11" s="43"/>
      <c r="P11" s="252">
        <f>D11+J11+L11+N11+F11+H11</f>
        <v>1000000000</v>
      </c>
      <c r="S11" s="79" t="s">
        <v>21</v>
      </c>
      <c r="T11" s="83">
        <f>T7+T9</f>
        <v>1100000000</v>
      </c>
    </row>
    <row r="12" spans="1:23">
      <c r="B12" s="43" t="s">
        <v>18</v>
      </c>
      <c r="C12" s="43"/>
      <c r="D12" s="196">
        <v>5000000</v>
      </c>
      <c r="E12" s="196"/>
      <c r="F12" s="196">
        <v>2000000</v>
      </c>
      <c r="G12" s="196"/>
      <c r="H12" s="196">
        <v>35000</v>
      </c>
      <c r="I12" s="196"/>
      <c r="J12" s="196"/>
      <c r="K12" s="196"/>
      <c r="L12" s="196"/>
      <c r="M12" s="43"/>
      <c r="N12" s="43"/>
      <c r="O12" s="43"/>
      <c r="P12" s="252"/>
    </row>
    <row r="13" spans="1:23">
      <c r="B13" s="43" t="s">
        <v>19</v>
      </c>
      <c r="C13" s="43"/>
      <c r="D13" s="29">
        <f>INT(D11/D12)</f>
        <v>170</v>
      </c>
      <c r="E13" s="196"/>
      <c r="F13" s="29">
        <f>INT(F11/F12)</f>
        <v>62</v>
      </c>
      <c r="G13" s="196"/>
      <c r="H13" s="29">
        <f>INT(H11/H12)</f>
        <v>714</v>
      </c>
      <c r="I13" s="196"/>
      <c r="J13" s="29"/>
      <c r="K13" s="196"/>
      <c r="L13" s="29"/>
      <c r="M13" s="43"/>
      <c r="N13" s="43"/>
      <c r="O13" s="43"/>
      <c r="P13" s="252"/>
      <c r="S13" t="s">
        <v>69</v>
      </c>
      <c r="T13" s="10">
        <f>T11-T14</f>
        <v>935000000</v>
      </c>
    </row>
    <row r="14" spans="1:23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253"/>
      <c r="S14" t="s">
        <v>6</v>
      </c>
      <c r="T14" s="10">
        <f>T11*U14</f>
        <v>165000000</v>
      </c>
      <c r="U14" s="8">
        <v>0.15</v>
      </c>
      <c r="V14" t="s">
        <v>73</v>
      </c>
    </row>
    <row r="15" spans="1:23">
      <c r="B15" s="43" t="s">
        <v>104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219">
        <f>T9</f>
        <v>100000000</v>
      </c>
      <c r="O15" s="43"/>
      <c r="P15" s="252">
        <f>D15+J15+L15+N15+F15+H15</f>
        <v>100000000</v>
      </c>
      <c r="S15" s="79" t="s">
        <v>22</v>
      </c>
      <c r="T15" s="83">
        <f>T13+T14</f>
        <v>1100000000</v>
      </c>
    </row>
    <row r="16" spans="1:23"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51"/>
    </row>
    <row r="17" spans="2:22">
      <c r="B17" s="244"/>
      <c r="C17" s="244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244"/>
      <c r="P17" s="251"/>
      <c r="S17" t="s">
        <v>74</v>
      </c>
      <c r="T17" s="22">
        <f>T13/T5</f>
        <v>0.91961535364380631</v>
      </c>
    </row>
    <row r="18" spans="2:22">
      <c r="B18" s="244" t="s">
        <v>10</v>
      </c>
      <c r="C18" s="244"/>
      <c r="D18" s="284">
        <v>0.05</v>
      </c>
      <c r="E18" s="254"/>
      <c r="F18" s="284">
        <v>2.5000000000000001E-2</v>
      </c>
      <c r="G18" s="254"/>
      <c r="H18" s="284">
        <v>0.15</v>
      </c>
      <c r="I18" s="254"/>
      <c r="J18" s="254"/>
      <c r="K18" s="254"/>
      <c r="L18" s="254"/>
      <c r="M18" s="195"/>
      <c r="N18" s="284">
        <f>T21</f>
        <v>2.5249999999999998E-2</v>
      </c>
      <c r="O18" s="244"/>
      <c r="P18" s="224">
        <f>P19/P$11</f>
        <v>5.1900000000000002E-2</v>
      </c>
    </row>
    <row r="19" spans="2:22">
      <c r="B19" s="244" t="s">
        <v>23</v>
      </c>
      <c r="C19" s="244"/>
      <c r="D19" s="213">
        <f>D$11*D18</f>
        <v>42500000</v>
      </c>
      <c r="E19" s="213"/>
      <c r="F19" s="213">
        <f>F$11*F18</f>
        <v>3125000</v>
      </c>
      <c r="G19" s="213"/>
      <c r="H19" s="213">
        <f>H$11*H18</f>
        <v>3750000</v>
      </c>
      <c r="I19" s="213"/>
      <c r="J19" s="213"/>
      <c r="K19" s="213"/>
      <c r="L19" s="213"/>
      <c r="M19" s="195"/>
      <c r="N19" s="255">
        <f>N18*N15</f>
        <v>2525000</v>
      </c>
      <c r="O19" s="244"/>
      <c r="P19" s="250">
        <f>D19+J19+L19+N19+F19+H19</f>
        <v>51900000</v>
      </c>
      <c r="S19" s="4" t="s">
        <v>75</v>
      </c>
    </row>
    <row r="20" spans="2:22">
      <c r="B20" s="244"/>
      <c r="C20" s="244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244"/>
      <c r="P20" s="251"/>
      <c r="S20" t="s">
        <v>153</v>
      </c>
      <c r="T20" s="85">
        <v>0.02</v>
      </c>
      <c r="V20" t="s">
        <v>204</v>
      </c>
    </row>
    <row r="21" spans="2:22">
      <c r="B21" s="244" t="s">
        <v>11</v>
      </c>
      <c r="C21" s="244"/>
      <c r="D21" s="254">
        <f>T20</f>
        <v>0.02</v>
      </c>
      <c r="E21" s="195"/>
      <c r="F21" s="254">
        <f>D21</f>
        <v>0.02</v>
      </c>
      <c r="G21" s="195"/>
      <c r="H21" s="254">
        <f>D21</f>
        <v>0.02</v>
      </c>
      <c r="I21" s="195"/>
      <c r="J21" s="254"/>
      <c r="K21" s="195"/>
      <c r="L21" s="254"/>
      <c r="M21" s="195"/>
      <c r="N21" s="195"/>
      <c r="O21" s="244"/>
      <c r="P21" s="224">
        <f>-P23/P$11</f>
        <v>1.8700000000000005E-2</v>
      </c>
      <c r="S21" t="s">
        <v>77</v>
      </c>
      <c r="T21" s="85">
        <f>0.75*2%+0.25*4.1%</f>
        <v>2.5249999999999998E-2</v>
      </c>
      <c r="V21" t="s">
        <v>85</v>
      </c>
    </row>
    <row r="22" spans="2:22">
      <c r="B22" s="244" t="s">
        <v>74</v>
      </c>
      <c r="C22" s="244"/>
      <c r="D22" s="254">
        <f>T17</f>
        <v>0.91961535364380631</v>
      </c>
      <c r="E22" s="195"/>
      <c r="F22" s="254">
        <f>D22</f>
        <v>0.91961535364380631</v>
      </c>
      <c r="G22" s="195"/>
      <c r="H22" s="254">
        <f>D22</f>
        <v>0.91961535364380631</v>
      </c>
      <c r="I22" s="195"/>
      <c r="J22" s="254"/>
      <c r="K22" s="195"/>
      <c r="L22" s="254"/>
      <c r="M22" s="195"/>
      <c r="N22" s="195"/>
      <c r="O22" s="244"/>
      <c r="P22" s="20"/>
    </row>
    <row r="23" spans="2:22">
      <c r="B23" s="244" t="s">
        <v>12</v>
      </c>
      <c r="C23" s="244"/>
      <c r="D23" s="255">
        <f>-D6*D21*D22</f>
        <v>-15871534.022278892</v>
      </c>
      <c r="E23" s="213"/>
      <c r="F23" s="255">
        <f>-F6*F21*F22</f>
        <v>-2334049.1209233664</v>
      </c>
      <c r="G23" s="213"/>
      <c r="H23" s="255">
        <f>-H6*H21*H22</f>
        <v>-494416.85679774539</v>
      </c>
      <c r="I23" s="213"/>
      <c r="J23" s="255"/>
      <c r="K23" s="213"/>
      <c r="L23" s="255"/>
      <c r="M23" s="195"/>
      <c r="N23" s="195"/>
      <c r="O23" s="244"/>
      <c r="P23" s="247">
        <f>D23+J23+L23+N23+F23+H23</f>
        <v>-18700000.000000004</v>
      </c>
      <c r="V23" t="s">
        <v>114</v>
      </c>
    </row>
    <row r="24" spans="2:22">
      <c r="B24" s="244"/>
      <c r="C24" s="244"/>
      <c r="D24" s="195"/>
      <c r="E24" s="195"/>
      <c r="F24" s="195"/>
      <c r="G24" s="195"/>
      <c r="H24" s="195"/>
      <c r="I24" s="195"/>
      <c r="J24" s="255"/>
      <c r="K24" s="195"/>
      <c r="L24" s="195"/>
      <c r="M24" s="195"/>
      <c r="N24" s="195"/>
      <c r="O24" s="244"/>
      <c r="P24" s="256"/>
      <c r="S24" t="s">
        <v>78</v>
      </c>
    </row>
    <row r="25" spans="2:22">
      <c r="B25" s="244" t="s">
        <v>13</v>
      </c>
      <c r="C25" s="244"/>
      <c r="D25" s="284">
        <v>0.01</v>
      </c>
      <c r="E25" s="254"/>
      <c r="F25" s="284">
        <v>5.0000000000000001E-3</v>
      </c>
      <c r="G25" s="254"/>
      <c r="H25" s="284">
        <v>0.15</v>
      </c>
      <c r="I25" s="254"/>
      <c r="J25" s="255"/>
      <c r="K25" s="254"/>
      <c r="L25" s="254"/>
      <c r="M25" s="195"/>
      <c r="N25" s="195"/>
      <c r="O25" s="244"/>
      <c r="P25" s="224">
        <f>-P26/P$11</f>
        <v>1.2874999999999999E-2</v>
      </c>
      <c r="S25" t="s">
        <v>79</v>
      </c>
      <c r="T25" s="139" t="s">
        <v>64</v>
      </c>
    </row>
    <row r="26" spans="2:22">
      <c r="B26" s="244" t="s">
        <v>15</v>
      </c>
      <c r="C26" s="244"/>
      <c r="D26" s="255">
        <f>-D$11*D25</f>
        <v>-8500000</v>
      </c>
      <c r="E26" s="213"/>
      <c r="F26" s="255">
        <f>-F$11*F25</f>
        <v>-625000</v>
      </c>
      <c r="G26" s="213"/>
      <c r="H26" s="255">
        <f>-H$11*H25</f>
        <v>-3750000</v>
      </c>
      <c r="I26" s="213"/>
      <c r="J26" s="255"/>
      <c r="K26" s="213"/>
      <c r="L26" s="255"/>
      <c r="M26" s="195"/>
      <c r="N26" s="195"/>
      <c r="O26" s="244"/>
      <c r="P26" s="247">
        <f>D26+J26+L26+N26+F26+H26</f>
        <v>-12875000</v>
      </c>
      <c r="S26" t="s">
        <v>81</v>
      </c>
      <c r="T26" t="s">
        <v>80</v>
      </c>
    </row>
    <row r="27" spans="2:22">
      <c r="B27" s="244"/>
      <c r="C27" s="244"/>
      <c r="D27" s="195"/>
      <c r="E27" s="195"/>
      <c r="F27" s="195"/>
      <c r="G27" s="195"/>
      <c r="H27" s="195"/>
      <c r="I27" s="195"/>
      <c r="J27" s="255"/>
      <c r="K27" s="195"/>
      <c r="L27" s="195"/>
      <c r="M27" s="195"/>
      <c r="N27" s="195"/>
      <c r="O27" s="244"/>
      <c r="P27" s="251"/>
      <c r="S27" t="s">
        <v>82</v>
      </c>
      <c r="T27" t="s">
        <v>80</v>
      </c>
    </row>
    <row r="28" spans="2:22">
      <c r="B28" s="244" t="s">
        <v>14</v>
      </c>
      <c r="C28" s="244"/>
      <c r="D28" s="254">
        <f>D18-D21-D25</f>
        <v>2.0000000000000004E-2</v>
      </c>
      <c r="E28" s="195"/>
      <c r="F28" s="254">
        <f>F18-F21-F25</f>
        <v>0</v>
      </c>
      <c r="G28" s="195"/>
      <c r="H28" s="254">
        <f>H18-H21-H25</f>
        <v>-1.999999999999999E-2</v>
      </c>
      <c r="I28" s="195"/>
      <c r="J28" s="255"/>
      <c r="K28" s="195"/>
      <c r="L28" s="254"/>
      <c r="M28" s="195"/>
      <c r="N28" s="195"/>
      <c r="O28" s="244"/>
      <c r="P28" s="224">
        <f>P29/P$11</f>
        <v>2.0324999999999996E-2</v>
      </c>
      <c r="S28" t="s">
        <v>83</v>
      </c>
      <c r="T28" s="139" t="s">
        <v>65</v>
      </c>
    </row>
    <row r="29" spans="2:22">
      <c r="B29" s="24"/>
      <c r="C29" s="24"/>
      <c r="D29" s="196">
        <f>D19+D23+D26</f>
        <v>18128465.97772111</v>
      </c>
      <c r="E29" s="43"/>
      <c r="F29" s="196">
        <f>F19+F23+F26</f>
        <v>165950.8790766336</v>
      </c>
      <c r="G29" s="43"/>
      <c r="H29" s="219">
        <f>H19+H23+H26</f>
        <v>-494416.85679774545</v>
      </c>
      <c r="I29" s="43"/>
      <c r="J29" s="44"/>
      <c r="K29" s="43"/>
      <c r="L29" s="196"/>
      <c r="M29" s="43"/>
      <c r="N29" s="219">
        <f>N19+N23+N26</f>
        <v>2525000</v>
      </c>
      <c r="O29" s="43"/>
      <c r="P29" s="257">
        <f>P19+P23+P26</f>
        <v>20324999.999999996</v>
      </c>
    </row>
    <row r="30" spans="2:22" s="69" customFormat="1">
      <c r="B30" s="68"/>
      <c r="C30" s="68"/>
      <c r="D30" s="192"/>
      <c r="E30" s="68"/>
      <c r="F30" s="192"/>
      <c r="G30" s="68"/>
      <c r="H30" s="193"/>
      <c r="I30" s="68"/>
      <c r="J30" s="193"/>
      <c r="K30" s="68"/>
      <c r="L30" s="192"/>
      <c r="M30" s="68"/>
      <c r="N30" s="193"/>
      <c r="O30" s="68"/>
      <c r="P30" s="194"/>
    </row>
    <row r="31" spans="2:22" s="195" customFormat="1">
      <c r="B31" s="195" t="s">
        <v>207</v>
      </c>
      <c r="D31" s="213">
        <v>0</v>
      </c>
      <c r="F31" s="213">
        <v>0</v>
      </c>
      <c r="H31" s="213">
        <v>0</v>
      </c>
      <c r="J31" s="214"/>
      <c r="L31" s="213"/>
      <c r="N31" s="213">
        <v>0</v>
      </c>
      <c r="P31" s="247">
        <f>D31+J31+L31+N31+F31+H31</f>
        <v>0</v>
      </c>
    </row>
    <row r="32" spans="2:22" s="69" customFormat="1">
      <c r="B32" s="195"/>
      <c r="C32" s="68"/>
      <c r="D32" s="192"/>
      <c r="E32" s="68"/>
      <c r="F32" s="192"/>
      <c r="G32" s="68"/>
      <c r="H32" s="193"/>
      <c r="I32" s="68"/>
      <c r="J32" s="193"/>
      <c r="K32" s="68"/>
      <c r="L32" s="192"/>
      <c r="M32" s="68"/>
      <c r="N32" s="193"/>
      <c r="O32" s="68"/>
      <c r="P32" s="194"/>
    </row>
    <row r="33" spans="2:33" s="69" customFormat="1">
      <c r="B33" s="201" t="s">
        <v>208</v>
      </c>
      <c r="C33" s="201"/>
      <c r="D33" s="202">
        <f>D29+D31</f>
        <v>18128465.97772111</v>
      </c>
      <c r="E33" s="202"/>
      <c r="F33" s="202">
        <f t="shared" ref="F33:H33" si="0">F29+F31</f>
        <v>165950.8790766336</v>
      </c>
      <c r="G33" s="202"/>
      <c r="H33" s="202">
        <f t="shared" si="0"/>
        <v>-494416.85679774545</v>
      </c>
      <c r="I33" s="201"/>
      <c r="J33" s="203"/>
      <c r="K33" s="201"/>
      <c r="L33" s="204"/>
      <c r="M33" s="201"/>
      <c r="N33" s="202">
        <f t="shared" ref="N33" si="1">N29+N31</f>
        <v>2525000</v>
      </c>
      <c r="O33" s="201"/>
      <c r="P33" s="241">
        <f>D33+J33+L33+N33+F33+H33</f>
        <v>20325000</v>
      </c>
    </row>
    <row r="34" spans="2:33"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51"/>
    </row>
    <row r="35" spans="2:33">
      <c r="B35" s="244" t="s">
        <v>56</v>
      </c>
      <c r="C35" s="244"/>
      <c r="D35" s="285">
        <v>0.5</v>
      </c>
      <c r="E35" s="195"/>
      <c r="F35" s="285">
        <v>0.2</v>
      </c>
      <c r="G35" s="195"/>
      <c r="H35" s="285">
        <v>0.1</v>
      </c>
      <c r="I35" s="195"/>
      <c r="J35" s="258"/>
      <c r="K35" s="195"/>
      <c r="L35" s="258"/>
      <c r="M35" s="195"/>
      <c r="N35" s="195"/>
      <c r="O35" s="244"/>
      <c r="P35" s="225">
        <f>-P36/P29</f>
        <v>0.57059892569131043</v>
      </c>
      <c r="S35" t="s">
        <v>142</v>
      </c>
      <c r="T35" s="171">
        <v>5000000</v>
      </c>
      <c r="V35" t="s">
        <v>215</v>
      </c>
    </row>
    <row r="36" spans="2:33">
      <c r="B36" s="244" t="s">
        <v>16</v>
      </c>
      <c r="C36" s="244"/>
      <c r="D36" s="255">
        <f>-D35*D29</f>
        <v>-9064232.988860555</v>
      </c>
      <c r="E36" s="195"/>
      <c r="F36" s="255">
        <f>-F35*F29</f>
        <v>-33190.175815326722</v>
      </c>
      <c r="G36" s="195"/>
      <c r="H36" s="214">
        <f>-H35*H11</f>
        <v>-2500000</v>
      </c>
      <c r="I36" s="195"/>
      <c r="J36" s="214"/>
      <c r="K36" s="195"/>
      <c r="L36" s="255"/>
      <c r="M36" s="195"/>
      <c r="N36" s="195"/>
      <c r="O36" s="244"/>
      <c r="P36" s="247">
        <f>D36+J36+L36+N36+F36+H36</f>
        <v>-11597423.164675882</v>
      </c>
      <c r="S36" t="s">
        <v>143</v>
      </c>
      <c r="T36" s="171">
        <v>2000000</v>
      </c>
      <c r="V36" t="s">
        <v>185</v>
      </c>
    </row>
    <row r="37" spans="2:33" hidden="1" outlineLevel="1">
      <c r="B37" s="244"/>
      <c r="C37" s="244"/>
      <c r="D37" s="255"/>
      <c r="E37" s="195"/>
      <c r="F37" s="255"/>
      <c r="G37" s="195"/>
      <c r="H37" s="214"/>
      <c r="I37" s="195"/>
      <c r="J37" s="214"/>
      <c r="K37" s="195"/>
      <c r="L37" s="255"/>
      <c r="M37" s="195"/>
      <c r="N37" s="195"/>
      <c r="O37" s="244"/>
      <c r="P37" s="256"/>
    </row>
    <row r="38" spans="2:33" hidden="1" outlineLevel="1">
      <c r="B38" s="43" t="s">
        <v>30</v>
      </c>
      <c r="C38" s="43"/>
      <c r="D38" s="255">
        <f>D33+D36</f>
        <v>9064232.988860555</v>
      </c>
      <c r="E38" s="255"/>
      <c r="F38" s="255">
        <f t="shared" ref="F38:H38" si="2">F33+F36</f>
        <v>132760.70326130689</v>
      </c>
      <c r="G38" s="255"/>
      <c r="H38" s="255">
        <f t="shared" si="2"/>
        <v>-2994416.8567977455</v>
      </c>
      <c r="I38" s="195"/>
      <c r="J38" s="214"/>
      <c r="K38" s="195"/>
      <c r="L38" s="255"/>
      <c r="M38" s="195"/>
      <c r="N38" s="255">
        <f t="shared" ref="N38" si="3">N33+N36</f>
        <v>2525000</v>
      </c>
      <c r="O38" s="43"/>
      <c r="P38" s="257">
        <f>P33+P36</f>
        <v>8727576.8353241179</v>
      </c>
    </row>
    <row r="39" spans="2:33" collapsed="1">
      <c r="B39" s="244"/>
      <c r="C39" s="244"/>
      <c r="D39" s="195" t="s">
        <v>4</v>
      </c>
      <c r="E39" s="195"/>
      <c r="F39" s="195"/>
      <c r="G39" s="195"/>
      <c r="H39" s="214"/>
      <c r="I39" s="195"/>
      <c r="J39" s="214"/>
      <c r="K39" s="195"/>
      <c r="L39" s="195"/>
      <c r="M39" s="195"/>
      <c r="N39" s="195"/>
      <c r="O39" s="244"/>
      <c r="P39" s="119"/>
    </row>
    <row r="40" spans="2:33">
      <c r="B40" s="244" t="s">
        <v>40</v>
      </c>
      <c r="C40" s="244"/>
      <c r="D40" s="195"/>
      <c r="E40" s="195"/>
      <c r="F40" s="195"/>
      <c r="G40" s="195"/>
      <c r="H40" s="214"/>
      <c r="I40" s="195"/>
      <c r="J40" s="214"/>
      <c r="K40" s="195"/>
      <c r="L40" s="195"/>
      <c r="M40" s="195"/>
      <c r="N40" s="259">
        <f>-T36</f>
        <v>-2000000</v>
      </c>
      <c r="O40" s="244"/>
      <c r="P40" s="247">
        <f>D40+J40+L40+N40+F40+H40</f>
        <v>-2000000</v>
      </c>
    </row>
    <row r="41" spans="2:33">
      <c r="B41" s="244"/>
      <c r="C41" s="244"/>
      <c r="D41" s="244"/>
      <c r="E41" s="244"/>
      <c r="F41" s="244"/>
      <c r="G41" s="244"/>
      <c r="H41" s="42"/>
      <c r="I41" s="244"/>
      <c r="J41" s="42"/>
      <c r="K41" s="244"/>
      <c r="L41" s="244"/>
      <c r="M41" s="244"/>
      <c r="N41" s="259"/>
      <c r="O41" s="244"/>
      <c r="P41" s="247"/>
    </row>
    <row r="42" spans="2:33">
      <c r="B42" s="201" t="s">
        <v>217</v>
      </c>
      <c r="C42" s="201"/>
      <c r="D42" s="202">
        <f>D36+D40</f>
        <v>-9064232.988860555</v>
      </c>
      <c r="E42" s="201"/>
      <c r="F42" s="202">
        <f>F36+F40</f>
        <v>-33190.175815326722</v>
      </c>
      <c r="G42" s="201"/>
      <c r="H42" s="202">
        <f>H36+H40</f>
        <v>-2500000</v>
      </c>
      <c r="I42" s="201"/>
      <c r="J42" s="203"/>
      <c r="K42" s="201"/>
      <c r="L42" s="201"/>
      <c r="M42" s="201"/>
      <c r="N42" s="202">
        <f>N36+N40</f>
        <v>-2000000</v>
      </c>
      <c r="O42" s="201"/>
      <c r="P42" s="241">
        <f>D42+J42+L42+N42+F42+H42</f>
        <v>-13597423.164675882</v>
      </c>
    </row>
    <row r="43" spans="2:33">
      <c r="B43" s="244"/>
      <c r="C43" s="244"/>
      <c r="D43" s="244"/>
      <c r="E43" s="244"/>
      <c r="F43" s="244"/>
      <c r="G43" s="244"/>
      <c r="H43" s="42"/>
      <c r="I43" s="244"/>
      <c r="J43" s="42"/>
      <c r="K43" s="244"/>
      <c r="L43" s="244"/>
      <c r="M43" s="244"/>
      <c r="N43" s="259"/>
      <c r="O43" s="244"/>
      <c r="P43" s="247"/>
    </row>
    <row r="44" spans="2:33">
      <c r="B44" s="244"/>
      <c r="C44" s="244"/>
      <c r="D44" s="244"/>
      <c r="E44" s="244"/>
      <c r="F44" s="244"/>
      <c r="G44" s="244"/>
      <c r="H44" s="42"/>
      <c r="I44" s="244"/>
      <c r="J44" s="42"/>
      <c r="K44" s="244"/>
      <c r="L44" s="244"/>
      <c r="M44" s="244"/>
      <c r="N44" s="244"/>
      <c r="O44" s="244"/>
      <c r="P44" s="251"/>
    </row>
    <row r="45" spans="2:33" s="17" customFormat="1" ht="16.5" thickBot="1">
      <c r="B45" s="210" t="s">
        <v>216</v>
      </c>
      <c r="C45" s="210"/>
      <c r="D45" s="211">
        <f>D33+D42</f>
        <v>9064232.988860555</v>
      </c>
      <c r="E45" s="211"/>
      <c r="F45" s="211">
        <f>F33+F42</f>
        <v>132760.70326130689</v>
      </c>
      <c r="G45" s="211"/>
      <c r="H45" s="211">
        <f>H33+H42</f>
        <v>-2994416.8567977455</v>
      </c>
      <c r="I45" s="211"/>
      <c r="J45" s="211"/>
      <c r="K45" s="211"/>
      <c r="L45" s="211"/>
      <c r="M45" s="211"/>
      <c r="N45" s="211">
        <f>N33+N42</f>
        <v>525000</v>
      </c>
      <c r="O45" s="211"/>
      <c r="P45" s="212">
        <f>P33+P42</f>
        <v>6727576.8353241179</v>
      </c>
      <c r="AG45"/>
    </row>
    <row r="46" spans="2:33" ht="16.5" thickTop="1">
      <c r="P46" s="3"/>
    </row>
    <row r="47" spans="2:33">
      <c r="B47" s="25" t="s">
        <v>223</v>
      </c>
      <c r="P47" s="3"/>
      <c r="Q47" s="25"/>
      <c r="R47" s="25"/>
      <c r="S47" s="25"/>
      <c r="T47" s="25"/>
      <c r="U47" s="78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</row>
    <row r="48" spans="2:33">
      <c r="B48" s="17"/>
      <c r="C48" s="17"/>
      <c r="D48" s="18"/>
      <c r="E48" s="17"/>
      <c r="F48" s="18"/>
      <c r="G48" s="17"/>
      <c r="H48" s="18"/>
      <c r="I48" s="17"/>
      <c r="J48" s="18"/>
      <c r="K48" s="17"/>
      <c r="L48" s="18"/>
      <c r="M48" s="17"/>
      <c r="N48" s="17"/>
      <c r="O48" s="17"/>
      <c r="P48" s="18"/>
      <c r="Q48" s="25"/>
      <c r="R48" s="55"/>
      <c r="S48" s="25"/>
      <c r="T48" s="25"/>
      <c r="U48" s="25"/>
      <c r="V48" s="25"/>
      <c r="W48" s="25"/>
      <c r="X48" s="25"/>
      <c r="Y48" s="25"/>
      <c r="Z48" s="25"/>
      <c r="AA48" s="25"/>
      <c r="AB48" s="71"/>
      <c r="AC48" s="25"/>
      <c r="AD48" s="25"/>
      <c r="AE48" s="25"/>
      <c r="AF48" s="25"/>
      <c r="AG48" s="25"/>
    </row>
    <row r="49" spans="2:33">
      <c r="B49" s="290" t="s">
        <v>138</v>
      </c>
      <c r="C49" s="290"/>
      <c r="D49" s="291">
        <f>SUM(D36:J36)/P11</f>
        <v>-1.1597423164675881E-2</v>
      </c>
      <c r="E49" s="290"/>
      <c r="F49" s="292"/>
      <c r="G49" s="290"/>
      <c r="H49" s="290"/>
      <c r="I49" s="290"/>
      <c r="J49" s="290"/>
      <c r="K49" s="290"/>
      <c r="L49" s="290"/>
      <c r="M49" s="290"/>
      <c r="N49" s="290"/>
      <c r="O49" s="290"/>
      <c r="P49" s="291">
        <f>P45/T11</f>
        <v>6.1159789412037436E-3</v>
      </c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</row>
    <row r="50" spans="2:33">
      <c r="B50" s="25"/>
      <c r="C50" s="25"/>
      <c r="D50" s="71"/>
      <c r="E50" s="25"/>
      <c r="F50" s="25"/>
      <c r="G50" s="25"/>
      <c r="H50" s="25"/>
      <c r="I50" s="25"/>
      <c r="J50" s="25"/>
      <c r="K50" s="25"/>
      <c r="L50" s="25"/>
      <c r="M50" s="25"/>
      <c r="N50" s="56"/>
      <c r="O50" s="25"/>
      <c r="P50" s="57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63"/>
      <c r="AB50" s="25"/>
      <c r="AC50" s="25"/>
      <c r="AD50" s="25"/>
      <c r="AE50" s="25"/>
      <c r="AF50" s="25"/>
      <c r="AG50" s="25"/>
    </row>
    <row r="51" spans="2:33">
      <c r="B51" s="25"/>
      <c r="C51" s="25"/>
      <c r="D51" s="63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25"/>
      <c r="P51" s="56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</row>
    <row r="52" spans="2:33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57"/>
      <c r="V52" s="25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25"/>
    </row>
    <row r="53" spans="2:33">
      <c r="C53" s="25"/>
      <c r="D53" s="72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57"/>
      <c r="V53" s="25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25"/>
    </row>
    <row r="54" spans="2:33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57"/>
      <c r="V54" s="25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25"/>
    </row>
    <row r="55" spans="2:33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57"/>
      <c r="V55" s="25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25"/>
    </row>
    <row r="56" spans="2:33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57"/>
      <c r="V56" s="25" t="s">
        <v>4</v>
      </c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25"/>
    </row>
    <row r="57" spans="2:33">
      <c r="B57" s="22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R57" s="25"/>
      <c r="S57" s="25"/>
      <c r="T57" s="25"/>
      <c r="U57" s="57"/>
      <c r="V57" s="25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25"/>
    </row>
    <row r="58" spans="2:33">
      <c r="B58" s="25"/>
      <c r="C58" s="25"/>
      <c r="D58" s="25"/>
      <c r="E58" s="25"/>
      <c r="F58" s="25"/>
      <c r="G58" s="25"/>
      <c r="H58" s="228"/>
      <c r="I58" s="25"/>
      <c r="J58" s="25"/>
      <c r="K58" s="25"/>
      <c r="L58" s="25"/>
      <c r="M58" s="25"/>
      <c r="N58" s="25"/>
      <c r="O58" s="25"/>
      <c r="P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</row>
    <row r="59" spans="2:33">
      <c r="B59" s="227"/>
      <c r="C59" s="228"/>
      <c r="D59" s="228"/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228"/>
      <c r="P59" s="228"/>
      <c r="R59" s="7"/>
      <c r="S59" s="7" t="s">
        <v>4</v>
      </c>
      <c r="T59" s="7" t="s">
        <v>91</v>
      </c>
      <c r="U59" s="7" t="s">
        <v>43</v>
      </c>
      <c r="V59" s="7" t="s">
        <v>44</v>
      </c>
      <c r="W59" s="7" t="s">
        <v>45</v>
      </c>
      <c r="X59" s="7" t="s">
        <v>46</v>
      </c>
      <c r="Y59" s="7" t="s">
        <v>47</v>
      </c>
      <c r="Z59" s="7" t="s">
        <v>48</v>
      </c>
      <c r="AA59" s="7" t="s">
        <v>49</v>
      </c>
      <c r="AB59" s="7" t="s">
        <v>50</v>
      </c>
      <c r="AC59" s="7" t="s">
        <v>51</v>
      </c>
      <c r="AD59" s="7" t="s">
        <v>52</v>
      </c>
      <c r="AE59" s="7"/>
      <c r="AF59" s="7"/>
    </row>
    <row r="60" spans="2:33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R60" s="102" t="s">
        <v>1</v>
      </c>
      <c r="S60" s="103"/>
    </row>
    <row r="61" spans="2:33">
      <c r="B61" s="25"/>
      <c r="C61" s="25"/>
      <c r="D61" s="229"/>
      <c r="E61" s="229"/>
      <c r="F61" s="229"/>
      <c r="G61" s="229"/>
      <c r="H61" s="229"/>
      <c r="I61" s="229"/>
      <c r="J61" s="229"/>
      <c r="K61" s="229"/>
      <c r="L61" s="229"/>
      <c r="M61" s="25"/>
      <c r="N61" s="25"/>
      <c r="O61" s="25"/>
      <c r="P61" s="229"/>
      <c r="S61" s="17" t="s">
        <v>89</v>
      </c>
      <c r="T61" s="17"/>
    </row>
    <row r="62" spans="2:33">
      <c r="B62" s="25"/>
      <c r="C62" s="25"/>
      <c r="D62" s="229"/>
      <c r="E62" s="229"/>
      <c r="F62" s="229"/>
      <c r="G62" s="229"/>
      <c r="H62" s="229"/>
      <c r="I62" s="229"/>
      <c r="J62" s="229"/>
      <c r="K62" s="229"/>
      <c r="L62" s="229"/>
      <c r="M62" s="25"/>
      <c r="N62" s="25"/>
      <c r="O62" s="25"/>
      <c r="P62" s="229"/>
      <c r="S62" s="91" t="s">
        <v>90</v>
      </c>
      <c r="T62" s="91"/>
      <c r="U62" s="33">
        <f t="shared" ref="U62:AD62" si="4">U68/(1-$D$8)</f>
        <v>43147208.121827409</v>
      </c>
      <c r="V62" s="33">
        <f t="shared" si="4"/>
        <v>64720812.18274112</v>
      </c>
      <c r="W62" s="33">
        <f t="shared" si="4"/>
        <v>107868020.30456853</v>
      </c>
      <c r="X62" s="33">
        <f t="shared" si="4"/>
        <v>172588832.48730963</v>
      </c>
      <c r="Y62" s="33">
        <f t="shared" si="4"/>
        <v>258883248.73096448</v>
      </c>
      <c r="Z62" s="33">
        <f t="shared" si="4"/>
        <v>345177664.97461927</v>
      </c>
      <c r="AA62" s="33">
        <f t="shared" si="4"/>
        <v>431472081.21827412</v>
      </c>
      <c r="AB62" s="33">
        <f t="shared" si="4"/>
        <v>560913705.58375633</v>
      </c>
      <c r="AC62" s="33">
        <f t="shared" si="4"/>
        <v>690355329.94923854</v>
      </c>
      <c r="AD62" s="33">
        <f t="shared" si="4"/>
        <v>862944162.43654823</v>
      </c>
      <c r="AF62" s="47">
        <f>SUM(U62:AD62)</f>
        <v>3538071065.9898481</v>
      </c>
    </row>
    <row r="63" spans="2:33">
      <c r="B63" s="25"/>
      <c r="C63" s="25"/>
      <c r="D63" s="109"/>
      <c r="E63" s="229"/>
      <c r="F63" s="109"/>
      <c r="G63" s="229"/>
      <c r="H63" s="109"/>
      <c r="I63" s="229"/>
      <c r="J63" s="109"/>
      <c r="K63" s="229"/>
      <c r="L63" s="109"/>
      <c r="M63" s="25"/>
      <c r="N63" s="25"/>
      <c r="O63" s="25"/>
      <c r="P63" s="229"/>
      <c r="S63" s="91" t="s">
        <v>88</v>
      </c>
      <c r="T63" s="91"/>
      <c r="U63" s="33">
        <f t="shared" ref="U63:AD63" si="5">U69/(1-$F$8)</f>
        <v>6345177.6649746196</v>
      </c>
      <c r="V63" s="33">
        <f t="shared" si="5"/>
        <v>9517766.4974619299</v>
      </c>
      <c r="W63" s="33">
        <f t="shared" si="5"/>
        <v>15862944.162436549</v>
      </c>
      <c r="X63" s="33">
        <f t="shared" si="5"/>
        <v>25380710.659898479</v>
      </c>
      <c r="Y63" s="33">
        <f t="shared" si="5"/>
        <v>38071065.98984772</v>
      </c>
      <c r="Z63" s="33">
        <f t="shared" si="5"/>
        <v>50761421.319796957</v>
      </c>
      <c r="AA63" s="33">
        <f t="shared" si="5"/>
        <v>63451776.649746194</v>
      </c>
      <c r="AB63" s="33">
        <f t="shared" si="5"/>
        <v>82487309.644670054</v>
      </c>
      <c r="AC63" s="33">
        <f t="shared" si="5"/>
        <v>101522842.63959391</v>
      </c>
      <c r="AD63" s="33">
        <f t="shared" si="5"/>
        <v>126903553.29949239</v>
      </c>
      <c r="AF63" s="47">
        <f>SUM(U63:AD63)</f>
        <v>520304568.52791882</v>
      </c>
    </row>
    <row r="64" spans="2:33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91" t="s">
        <v>87</v>
      </c>
      <c r="T64" s="91"/>
      <c r="U64" s="33">
        <f t="shared" ref="U64:AD64" si="6">U70/(1-$H$8)</f>
        <v>1344086.0215053763</v>
      </c>
      <c r="V64" s="33">
        <f t="shared" si="6"/>
        <v>2016129.0322580647</v>
      </c>
      <c r="W64" s="33">
        <f t="shared" si="6"/>
        <v>3360215.0537634413</v>
      </c>
      <c r="X64" s="33">
        <f t="shared" si="6"/>
        <v>5376344.0860215053</v>
      </c>
      <c r="Y64" s="33">
        <f t="shared" si="6"/>
        <v>8064516.1290322589</v>
      </c>
      <c r="Z64" s="33">
        <f t="shared" si="6"/>
        <v>10752688.172043011</v>
      </c>
      <c r="AA64" s="33">
        <f t="shared" si="6"/>
        <v>13440860.215053765</v>
      </c>
      <c r="AB64" s="33">
        <f t="shared" si="6"/>
        <v>17473118.279569894</v>
      </c>
      <c r="AC64" s="33">
        <f t="shared" si="6"/>
        <v>21505376.344086021</v>
      </c>
      <c r="AD64" s="33">
        <f t="shared" si="6"/>
        <v>26881720.43010753</v>
      </c>
      <c r="AF64" s="47">
        <f>SUM(U64:AD64)</f>
        <v>110215053.76344088</v>
      </c>
    </row>
    <row r="65" spans="2:33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56"/>
      <c r="O65" s="25"/>
      <c r="P65" s="229"/>
      <c r="S65" s="53" t="s">
        <v>28</v>
      </c>
      <c r="T65" s="53"/>
      <c r="U65" s="86">
        <f t="shared" ref="U65:AD65" si="7">SUM(U62:U64)</f>
        <v>50836471.808307409</v>
      </c>
      <c r="V65" s="86">
        <f t="shared" si="7"/>
        <v>76254707.712461114</v>
      </c>
      <c r="W65" s="86">
        <f t="shared" si="7"/>
        <v>127091179.52076851</v>
      </c>
      <c r="X65" s="86">
        <f t="shared" si="7"/>
        <v>203345887.23322964</v>
      </c>
      <c r="Y65" s="86">
        <f t="shared" si="7"/>
        <v>305018830.84984446</v>
      </c>
      <c r="Z65" s="86">
        <f t="shared" si="7"/>
        <v>406691774.46645927</v>
      </c>
      <c r="AA65" s="86">
        <f t="shared" si="7"/>
        <v>508364718.08307403</v>
      </c>
      <c r="AB65" s="86">
        <f t="shared" si="7"/>
        <v>660874133.5079962</v>
      </c>
      <c r="AC65" s="86">
        <f t="shared" si="7"/>
        <v>813383548.93291855</v>
      </c>
      <c r="AD65" s="86">
        <f t="shared" si="7"/>
        <v>1016729436.1661481</v>
      </c>
      <c r="AE65" s="48"/>
      <c r="AF65" s="49">
        <f>SUM(U65:AD65)</f>
        <v>4168590688.2812076</v>
      </c>
    </row>
    <row r="66" spans="2:33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</row>
    <row r="67" spans="2:33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S67" s="17" t="s">
        <v>20</v>
      </c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</row>
    <row r="68" spans="2:33">
      <c r="B68" s="25"/>
      <c r="C68" s="25"/>
      <c r="D68" s="230"/>
      <c r="E68" s="230"/>
      <c r="F68" s="230"/>
      <c r="G68" s="230"/>
      <c r="H68" s="230"/>
      <c r="I68" s="230"/>
      <c r="J68" s="230"/>
      <c r="K68" s="230"/>
      <c r="L68" s="230"/>
      <c r="M68" s="25"/>
      <c r="N68" s="230"/>
      <c r="O68" s="25"/>
      <c r="P68" s="111"/>
      <c r="S68" s="91" t="s">
        <v>90</v>
      </c>
      <c r="T68" s="91"/>
      <c r="U68" s="50">
        <f t="shared" ref="U68:AD68" si="8">($D$11/$P$11)*U71</f>
        <v>42500000</v>
      </c>
      <c r="V68" s="50">
        <f t="shared" si="8"/>
        <v>63750000</v>
      </c>
      <c r="W68" s="50">
        <f t="shared" si="8"/>
        <v>106250000</v>
      </c>
      <c r="X68" s="50">
        <f t="shared" si="8"/>
        <v>170000000</v>
      </c>
      <c r="Y68" s="50">
        <f t="shared" si="8"/>
        <v>255000000</v>
      </c>
      <c r="Z68" s="50">
        <f t="shared" si="8"/>
        <v>340000000</v>
      </c>
      <c r="AA68" s="50">
        <f t="shared" si="8"/>
        <v>425000000</v>
      </c>
      <c r="AB68" s="50">
        <f t="shared" si="8"/>
        <v>552500000</v>
      </c>
      <c r="AC68" s="50">
        <f t="shared" si="8"/>
        <v>680000000</v>
      </c>
      <c r="AD68" s="50">
        <f t="shared" si="8"/>
        <v>850000000</v>
      </c>
      <c r="AF68" s="47">
        <f>SUM(U68:AD68)</f>
        <v>3485000000</v>
      </c>
    </row>
    <row r="69" spans="2:33">
      <c r="B69" s="25"/>
      <c r="C69" s="25"/>
      <c r="D69" s="229"/>
      <c r="E69" s="229"/>
      <c r="F69" s="229"/>
      <c r="G69" s="229"/>
      <c r="H69" s="229"/>
      <c r="I69" s="229"/>
      <c r="J69" s="229"/>
      <c r="K69" s="229"/>
      <c r="L69" s="229"/>
      <c r="M69" s="25"/>
      <c r="N69" s="56"/>
      <c r="O69" s="25"/>
      <c r="P69" s="229"/>
      <c r="S69" s="91" t="s">
        <v>88</v>
      </c>
      <c r="T69" s="91"/>
      <c r="U69" s="50">
        <f t="shared" ref="U69:AD69" si="9">U71-U68-U70</f>
        <v>6250000</v>
      </c>
      <c r="V69" s="50">
        <f t="shared" si="9"/>
        <v>9375000</v>
      </c>
      <c r="W69" s="50">
        <f t="shared" si="9"/>
        <v>15625000</v>
      </c>
      <c r="X69" s="50">
        <f t="shared" si="9"/>
        <v>25000000</v>
      </c>
      <c r="Y69" s="50">
        <f t="shared" si="9"/>
        <v>37500000</v>
      </c>
      <c r="Z69" s="50">
        <f t="shared" si="9"/>
        <v>50000000</v>
      </c>
      <c r="AA69" s="50">
        <f t="shared" si="9"/>
        <v>62500000</v>
      </c>
      <c r="AB69" s="50">
        <f t="shared" si="9"/>
        <v>81250000</v>
      </c>
      <c r="AC69" s="50">
        <f t="shared" si="9"/>
        <v>100000000</v>
      </c>
      <c r="AD69" s="50">
        <f t="shared" si="9"/>
        <v>125000000</v>
      </c>
      <c r="AF69" s="47">
        <f>SUM(U69:AD69)</f>
        <v>512500000</v>
      </c>
    </row>
    <row r="70" spans="2:33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S70" s="91" t="s">
        <v>87</v>
      </c>
      <c r="T70" s="91"/>
      <c r="U70" s="60">
        <f t="shared" ref="U70:AD70" si="10">($H$11/$P$11)*U71</f>
        <v>1250000</v>
      </c>
      <c r="V70" s="60">
        <f t="shared" si="10"/>
        <v>1875000</v>
      </c>
      <c r="W70" s="60">
        <f t="shared" si="10"/>
        <v>3125000</v>
      </c>
      <c r="X70" s="60">
        <f t="shared" si="10"/>
        <v>5000000</v>
      </c>
      <c r="Y70" s="60">
        <f t="shared" si="10"/>
        <v>7500000</v>
      </c>
      <c r="Z70" s="60">
        <f t="shared" si="10"/>
        <v>10000000</v>
      </c>
      <c r="AA70" s="60">
        <f t="shared" si="10"/>
        <v>12500000</v>
      </c>
      <c r="AB70" s="60">
        <f t="shared" si="10"/>
        <v>16250000</v>
      </c>
      <c r="AC70" s="60">
        <f t="shared" si="10"/>
        <v>20000000</v>
      </c>
      <c r="AD70" s="60">
        <f t="shared" si="10"/>
        <v>25000000</v>
      </c>
      <c r="AF70" s="47">
        <f>SUM(U70:AD70)</f>
        <v>102500000</v>
      </c>
    </row>
    <row r="71" spans="2:33">
      <c r="B71" s="25"/>
      <c r="C71" s="25"/>
      <c r="D71" s="230"/>
      <c r="E71" s="25"/>
      <c r="F71" s="230"/>
      <c r="G71" s="25"/>
      <c r="H71" s="230"/>
      <c r="I71" s="25"/>
      <c r="J71" s="230"/>
      <c r="K71" s="25"/>
      <c r="L71" s="230"/>
      <c r="M71" s="25"/>
      <c r="N71" s="25"/>
      <c r="O71" s="25"/>
      <c r="P71" s="111"/>
      <c r="S71" s="53" t="s">
        <v>86</v>
      </c>
      <c r="T71" s="53"/>
      <c r="U71" s="86">
        <v>50000000</v>
      </c>
      <c r="V71" s="86">
        <v>75000000</v>
      </c>
      <c r="W71" s="86">
        <v>125000000</v>
      </c>
      <c r="X71" s="86">
        <v>200000000</v>
      </c>
      <c r="Y71" s="86">
        <v>300000000</v>
      </c>
      <c r="Z71" s="86">
        <v>400000000</v>
      </c>
      <c r="AA71" s="86">
        <v>500000000</v>
      </c>
      <c r="AB71" s="86">
        <v>650000000</v>
      </c>
      <c r="AC71" s="86">
        <v>800000000</v>
      </c>
      <c r="AD71" s="86">
        <v>1000000000</v>
      </c>
      <c r="AE71" s="48"/>
      <c r="AF71" s="49">
        <f>SUM(U71:AD71)</f>
        <v>4100000000</v>
      </c>
    </row>
    <row r="72" spans="2:33">
      <c r="B72" s="25"/>
      <c r="C72" s="25"/>
      <c r="D72" s="56"/>
      <c r="E72" s="229"/>
      <c r="F72" s="56"/>
      <c r="G72" s="229"/>
      <c r="H72" s="56"/>
      <c r="I72" s="229"/>
      <c r="J72" s="56"/>
      <c r="K72" s="229"/>
      <c r="L72" s="56"/>
      <c r="M72" s="25"/>
      <c r="N72" s="25"/>
      <c r="O72" s="25"/>
      <c r="P72" s="56"/>
      <c r="S72" s="51"/>
      <c r="T72" s="51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3"/>
      <c r="AF72" s="87"/>
    </row>
    <row r="73" spans="2:33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57"/>
      <c r="S73" t="s">
        <v>70</v>
      </c>
      <c r="U73" s="92">
        <f t="shared" ref="U73:AD73" si="11">U71*$U$9</f>
        <v>5000000</v>
      </c>
      <c r="V73" s="92">
        <f t="shared" si="11"/>
        <v>7500000</v>
      </c>
      <c r="W73" s="92">
        <f t="shared" si="11"/>
        <v>12500000</v>
      </c>
      <c r="X73" s="92">
        <f t="shared" si="11"/>
        <v>20000000</v>
      </c>
      <c r="Y73" s="92">
        <f t="shared" si="11"/>
        <v>30000000</v>
      </c>
      <c r="Z73" s="92">
        <f t="shared" si="11"/>
        <v>40000000</v>
      </c>
      <c r="AA73" s="92">
        <f t="shared" si="11"/>
        <v>50000000</v>
      </c>
      <c r="AB73" s="92">
        <f t="shared" si="11"/>
        <v>65000000</v>
      </c>
      <c r="AC73" s="92">
        <f t="shared" si="11"/>
        <v>80000000</v>
      </c>
      <c r="AD73" s="92">
        <f t="shared" si="11"/>
        <v>100000000</v>
      </c>
      <c r="AE73" s="3"/>
      <c r="AF73" s="3"/>
      <c r="AG73" s="3"/>
    </row>
    <row r="74" spans="2:33">
      <c r="B74" s="25"/>
      <c r="C74" s="25"/>
      <c r="D74" s="230"/>
      <c r="E74" s="230"/>
      <c r="F74" s="230"/>
      <c r="G74" s="230"/>
      <c r="H74" s="230"/>
      <c r="I74" s="230"/>
      <c r="J74" s="230"/>
      <c r="K74" s="230"/>
      <c r="L74" s="230"/>
      <c r="M74" s="25"/>
      <c r="N74" s="25"/>
      <c r="O74" s="25"/>
      <c r="P74" s="111"/>
      <c r="S74" s="3"/>
      <c r="T74" s="3"/>
      <c r="U74" s="3"/>
      <c r="V74" s="3"/>
      <c r="W74" s="65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2:33" ht="16.5" thickBot="1">
      <c r="B75" s="25"/>
      <c r="C75" s="25"/>
      <c r="D75" s="56"/>
      <c r="E75" s="229"/>
      <c r="F75" s="56"/>
      <c r="G75" s="229"/>
      <c r="H75" s="56"/>
      <c r="I75" s="229"/>
      <c r="J75" s="56"/>
      <c r="K75" s="229"/>
      <c r="L75" s="56"/>
      <c r="M75" s="25"/>
      <c r="N75" s="25"/>
      <c r="O75" s="25"/>
      <c r="P75" s="56"/>
      <c r="S75" s="93" t="s">
        <v>21</v>
      </c>
      <c r="T75" s="93"/>
      <c r="U75" s="94">
        <f>U71+U73</f>
        <v>55000000</v>
      </c>
      <c r="V75" s="94">
        <f t="shared" ref="V75:AD75" si="12">V71+V73</f>
        <v>82500000</v>
      </c>
      <c r="W75" s="94">
        <f t="shared" si="12"/>
        <v>137500000</v>
      </c>
      <c r="X75" s="94">
        <f t="shared" si="12"/>
        <v>220000000</v>
      </c>
      <c r="Y75" s="94">
        <f t="shared" si="12"/>
        <v>330000000</v>
      </c>
      <c r="Z75" s="94">
        <f t="shared" si="12"/>
        <v>440000000</v>
      </c>
      <c r="AA75" s="94">
        <f t="shared" si="12"/>
        <v>550000000</v>
      </c>
      <c r="AB75" s="94">
        <f t="shared" si="12"/>
        <v>715000000</v>
      </c>
      <c r="AC75" s="94">
        <f t="shared" si="12"/>
        <v>880000000</v>
      </c>
      <c r="AD75" s="94">
        <f t="shared" si="12"/>
        <v>1100000000</v>
      </c>
      <c r="AE75" s="93"/>
      <c r="AF75" s="93"/>
      <c r="AG75" s="3"/>
    </row>
    <row r="76" spans="2:33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AG76" s="3"/>
    </row>
    <row r="77" spans="2:33">
      <c r="B77" s="25"/>
      <c r="C77" s="25"/>
      <c r="D77" s="230"/>
      <c r="E77" s="25"/>
      <c r="F77" s="230"/>
      <c r="G77" s="25"/>
      <c r="H77" s="230"/>
      <c r="I77" s="25"/>
      <c r="J77" s="230"/>
      <c r="K77" s="25"/>
      <c r="L77" s="230"/>
      <c r="M77" s="25"/>
      <c r="N77" s="25"/>
      <c r="O77" s="25"/>
      <c r="P77" s="111"/>
      <c r="S77" s="54" t="s">
        <v>6</v>
      </c>
      <c r="T77" s="3"/>
      <c r="U77" s="26">
        <v>0.2</v>
      </c>
      <c r="V77" s="26">
        <v>0.2</v>
      </c>
      <c r="W77" s="26">
        <v>0.2</v>
      </c>
      <c r="X77" s="26">
        <v>0.2</v>
      </c>
      <c r="Y77" s="26">
        <v>0.2</v>
      </c>
      <c r="Z77" s="26">
        <v>0.2</v>
      </c>
      <c r="AA77" s="26">
        <v>0.17</v>
      </c>
      <c r="AB77" s="26">
        <v>0.17</v>
      </c>
      <c r="AC77" s="26">
        <v>0.15</v>
      </c>
      <c r="AD77" s="26">
        <v>0.15</v>
      </c>
      <c r="AE77" s="3"/>
      <c r="AF77" s="87"/>
      <c r="AG77" s="3"/>
    </row>
    <row r="78" spans="2:33">
      <c r="B78" s="55"/>
      <c r="C78" s="55"/>
      <c r="D78" s="231"/>
      <c r="E78" s="55"/>
      <c r="F78" s="231"/>
      <c r="G78" s="55"/>
      <c r="H78" s="232"/>
      <c r="I78" s="55"/>
      <c r="J78" s="231"/>
      <c r="K78" s="55"/>
      <c r="L78" s="231"/>
      <c r="M78" s="55"/>
      <c r="N78" s="232"/>
      <c r="O78" s="55"/>
      <c r="P78" s="233"/>
      <c r="S78" s="89" t="s">
        <v>101</v>
      </c>
      <c r="T78" s="89"/>
      <c r="U78" s="87">
        <f>U75*U77</f>
        <v>11000000</v>
      </c>
      <c r="V78" s="87">
        <f t="shared" ref="V78:AD78" si="13">V75*V77</f>
        <v>16500000</v>
      </c>
      <c r="W78" s="87">
        <f t="shared" si="13"/>
        <v>27500000</v>
      </c>
      <c r="X78" s="87">
        <f t="shared" si="13"/>
        <v>44000000</v>
      </c>
      <c r="Y78" s="87">
        <f t="shared" si="13"/>
        <v>66000000</v>
      </c>
      <c r="Z78" s="87">
        <f t="shared" si="13"/>
        <v>88000000</v>
      </c>
      <c r="AA78" s="87">
        <f t="shared" si="13"/>
        <v>93500000</v>
      </c>
      <c r="AB78" s="87">
        <f t="shared" si="13"/>
        <v>121550000.00000001</v>
      </c>
      <c r="AC78" s="87">
        <f t="shared" si="13"/>
        <v>132000000</v>
      </c>
      <c r="AD78" s="87">
        <f t="shared" si="13"/>
        <v>165000000</v>
      </c>
      <c r="AE78" s="3"/>
      <c r="AF78" s="87"/>
      <c r="AG78" s="3"/>
    </row>
    <row r="79" spans="2:33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AG79" s="3"/>
    </row>
    <row r="80" spans="2:33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56"/>
      <c r="S80" t="s">
        <v>102</v>
      </c>
      <c r="U80" s="36">
        <f>U75-U78</f>
        <v>44000000</v>
      </c>
      <c r="V80" s="36">
        <f t="shared" ref="V80:AD80" si="14">V75-V78</f>
        <v>66000000</v>
      </c>
      <c r="W80" s="36">
        <f t="shared" si="14"/>
        <v>110000000</v>
      </c>
      <c r="X80" s="36">
        <f t="shared" si="14"/>
        <v>176000000</v>
      </c>
      <c r="Y80" s="36">
        <f t="shared" si="14"/>
        <v>264000000</v>
      </c>
      <c r="Z80" s="36">
        <f t="shared" si="14"/>
        <v>352000000</v>
      </c>
      <c r="AA80" s="36">
        <f t="shared" si="14"/>
        <v>456500000</v>
      </c>
      <c r="AB80" s="36">
        <f t="shared" si="14"/>
        <v>593450000</v>
      </c>
      <c r="AC80" s="36">
        <f t="shared" si="14"/>
        <v>748000000</v>
      </c>
      <c r="AD80" s="36">
        <f t="shared" si="14"/>
        <v>935000000</v>
      </c>
      <c r="AG80" s="3"/>
    </row>
    <row r="81" spans="2:33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S81" t="s">
        <v>74</v>
      </c>
      <c r="U81" s="19">
        <f>U80/U65</f>
        <v>0.86552033284122931</v>
      </c>
      <c r="V81" s="19">
        <f t="shared" ref="V81:AD81" si="15">V80/V65</f>
        <v>0.86552033284122931</v>
      </c>
      <c r="W81" s="19">
        <f t="shared" si="15"/>
        <v>0.86552033284122942</v>
      </c>
      <c r="X81" s="19">
        <f t="shared" si="15"/>
        <v>0.86552033284122931</v>
      </c>
      <c r="Y81" s="19">
        <f t="shared" si="15"/>
        <v>0.86552033284122931</v>
      </c>
      <c r="Z81" s="19">
        <f t="shared" si="15"/>
        <v>0.86552033284122931</v>
      </c>
      <c r="AA81" s="19">
        <f t="shared" si="15"/>
        <v>0.89797734532277551</v>
      </c>
      <c r="AB81" s="19">
        <f t="shared" si="15"/>
        <v>0.89797734532277562</v>
      </c>
      <c r="AC81" s="19">
        <f t="shared" si="15"/>
        <v>0.9196153536438062</v>
      </c>
      <c r="AD81" s="19">
        <f t="shared" si="15"/>
        <v>0.91961535364380631</v>
      </c>
      <c r="AG81" s="3"/>
    </row>
    <row r="82" spans="2:33"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233"/>
      <c r="AG82" s="3"/>
    </row>
    <row r="83" spans="2:33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R83" s="102" t="s">
        <v>0</v>
      </c>
      <c r="S83" s="103"/>
      <c r="AG83" s="3"/>
    </row>
    <row r="84" spans="2:33">
      <c r="B84" s="40"/>
      <c r="C84" s="40"/>
      <c r="D84" s="163"/>
      <c r="E84" s="40"/>
      <c r="F84" s="163"/>
      <c r="G84" s="40"/>
      <c r="H84" s="40"/>
      <c r="I84" s="40"/>
      <c r="J84" s="163"/>
      <c r="K84" s="40"/>
      <c r="L84" s="163"/>
      <c r="M84" s="40"/>
      <c r="N84" s="40"/>
      <c r="O84" s="40"/>
      <c r="P84" s="163"/>
      <c r="S84" s="3" t="s">
        <v>10</v>
      </c>
      <c r="T84" s="3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3"/>
      <c r="AF84" s="87"/>
      <c r="AG84" s="3"/>
    </row>
    <row r="85" spans="2:33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S85" s="95" t="s">
        <v>90</v>
      </c>
      <c r="T85" s="95"/>
      <c r="U85" s="65">
        <f t="shared" ref="U85:AD85" si="16">U68*$D$18</f>
        <v>2125000</v>
      </c>
      <c r="V85" s="65">
        <f t="shared" si="16"/>
        <v>3187500</v>
      </c>
      <c r="W85" s="65">
        <f t="shared" si="16"/>
        <v>5312500</v>
      </c>
      <c r="X85" s="65">
        <f t="shared" si="16"/>
        <v>8500000</v>
      </c>
      <c r="Y85" s="65">
        <f t="shared" si="16"/>
        <v>12750000</v>
      </c>
      <c r="Z85" s="65">
        <f t="shared" si="16"/>
        <v>17000000</v>
      </c>
      <c r="AA85" s="65">
        <f t="shared" si="16"/>
        <v>21250000</v>
      </c>
      <c r="AB85" s="65">
        <f t="shared" si="16"/>
        <v>27625000</v>
      </c>
      <c r="AC85" s="65">
        <f t="shared" si="16"/>
        <v>34000000</v>
      </c>
      <c r="AD85" s="65">
        <f t="shared" si="16"/>
        <v>42500000</v>
      </c>
      <c r="AE85" s="3"/>
      <c r="AF85" s="87"/>
      <c r="AG85" s="3"/>
    </row>
    <row r="86" spans="2:33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S86" s="95" t="s">
        <v>88</v>
      </c>
      <c r="T86" s="95"/>
      <c r="U86" s="65">
        <f t="shared" ref="U86:AD86" si="17">U69*$F$18</f>
        <v>156250</v>
      </c>
      <c r="V86" s="65">
        <f t="shared" si="17"/>
        <v>234375</v>
      </c>
      <c r="W86" s="65">
        <f t="shared" si="17"/>
        <v>390625</v>
      </c>
      <c r="X86" s="65">
        <f t="shared" si="17"/>
        <v>625000</v>
      </c>
      <c r="Y86" s="65">
        <f t="shared" si="17"/>
        <v>937500</v>
      </c>
      <c r="Z86" s="65">
        <f t="shared" si="17"/>
        <v>1250000</v>
      </c>
      <c r="AA86" s="65">
        <f t="shared" si="17"/>
        <v>1562500</v>
      </c>
      <c r="AB86" s="65">
        <f t="shared" si="17"/>
        <v>2031250</v>
      </c>
      <c r="AC86" s="65">
        <f t="shared" si="17"/>
        <v>2500000</v>
      </c>
      <c r="AD86" s="65">
        <f t="shared" si="17"/>
        <v>3125000</v>
      </c>
      <c r="AE86" s="3"/>
      <c r="AF86" s="87"/>
      <c r="AG86" s="3"/>
    </row>
    <row r="87" spans="2:33">
      <c r="S87" s="95" t="s">
        <v>87</v>
      </c>
      <c r="T87" s="95"/>
      <c r="U87" s="65">
        <f t="shared" ref="U87:AD87" si="18">U70*$H$18</f>
        <v>187500</v>
      </c>
      <c r="V87" s="65">
        <f t="shared" si="18"/>
        <v>281250</v>
      </c>
      <c r="W87" s="65">
        <f t="shared" si="18"/>
        <v>468750</v>
      </c>
      <c r="X87" s="65">
        <f t="shared" si="18"/>
        <v>750000</v>
      </c>
      <c r="Y87" s="65">
        <f t="shared" si="18"/>
        <v>1125000</v>
      </c>
      <c r="Z87" s="65">
        <f t="shared" si="18"/>
        <v>1500000</v>
      </c>
      <c r="AA87" s="65">
        <f t="shared" si="18"/>
        <v>1875000</v>
      </c>
      <c r="AB87" s="65">
        <f t="shared" si="18"/>
        <v>2437500</v>
      </c>
      <c r="AC87" s="65">
        <f t="shared" si="18"/>
        <v>3000000</v>
      </c>
      <c r="AD87" s="65">
        <f t="shared" si="18"/>
        <v>3750000</v>
      </c>
      <c r="AE87" s="3"/>
      <c r="AF87" s="87"/>
      <c r="AG87" s="3"/>
    </row>
    <row r="88" spans="2:33">
      <c r="S88" s="95" t="s">
        <v>41</v>
      </c>
      <c r="T88" s="95"/>
      <c r="U88" s="65">
        <f t="shared" ref="U88:AD88" si="19">U73*$T$21</f>
        <v>126249.99999999999</v>
      </c>
      <c r="V88" s="65">
        <f t="shared" si="19"/>
        <v>189375</v>
      </c>
      <c r="W88" s="65">
        <f t="shared" si="19"/>
        <v>315625</v>
      </c>
      <c r="X88" s="65">
        <f t="shared" si="19"/>
        <v>504999.99999999994</v>
      </c>
      <c r="Y88" s="65">
        <f t="shared" si="19"/>
        <v>757500</v>
      </c>
      <c r="Z88" s="65">
        <f t="shared" si="19"/>
        <v>1009999.9999999999</v>
      </c>
      <c r="AA88" s="65">
        <f t="shared" si="19"/>
        <v>1262500</v>
      </c>
      <c r="AB88" s="65">
        <f t="shared" si="19"/>
        <v>1641249.9999999998</v>
      </c>
      <c r="AC88" s="65">
        <f t="shared" si="19"/>
        <v>2019999.9999999998</v>
      </c>
      <c r="AD88" s="65">
        <f t="shared" si="19"/>
        <v>2525000</v>
      </c>
      <c r="AE88" s="3"/>
      <c r="AF88" s="3"/>
      <c r="AG88" s="3"/>
    </row>
    <row r="89" spans="2:33">
      <c r="R89" s="25"/>
      <c r="S89" s="96" t="s">
        <v>92</v>
      </c>
      <c r="T89" s="96"/>
      <c r="U89" s="97">
        <f>SUM(U85:U88)</f>
        <v>2595000</v>
      </c>
      <c r="V89" s="97">
        <f t="shared" ref="V89:AD89" si="20">SUM(V85:V88)</f>
        <v>3892500</v>
      </c>
      <c r="W89" s="97">
        <f t="shared" si="20"/>
        <v>6487500</v>
      </c>
      <c r="X89" s="97">
        <f t="shared" si="20"/>
        <v>10380000</v>
      </c>
      <c r="Y89" s="97">
        <f t="shared" si="20"/>
        <v>15570000</v>
      </c>
      <c r="Z89" s="97">
        <f t="shared" si="20"/>
        <v>20760000</v>
      </c>
      <c r="AA89" s="97">
        <f t="shared" si="20"/>
        <v>25950000</v>
      </c>
      <c r="AB89" s="97">
        <f t="shared" si="20"/>
        <v>33735000</v>
      </c>
      <c r="AC89" s="97">
        <f t="shared" si="20"/>
        <v>41520000</v>
      </c>
      <c r="AD89" s="97">
        <f t="shared" si="20"/>
        <v>51900000</v>
      </c>
      <c r="AE89" s="48"/>
      <c r="AF89" s="48"/>
    </row>
    <row r="90" spans="2:33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R90" s="25"/>
      <c r="S90" s="3"/>
      <c r="T90" s="3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3"/>
      <c r="AF90" s="3"/>
    </row>
    <row r="91" spans="2:33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S91" s="3" t="s">
        <v>93</v>
      </c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2:33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S92" s="95" t="s">
        <v>90</v>
      </c>
      <c r="T92" s="95"/>
      <c r="U92" s="87">
        <f t="shared" ref="U92:AD92" si="21">-U62*U$81*$T$20</f>
        <v>-746895.71869547712</v>
      </c>
      <c r="V92" s="87">
        <f t="shared" si="21"/>
        <v>-1120343.5780432157</v>
      </c>
      <c r="W92" s="87">
        <f t="shared" si="21"/>
        <v>-1867239.2967386928</v>
      </c>
      <c r="X92" s="87">
        <f t="shared" si="21"/>
        <v>-2987582.8747819085</v>
      </c>
      <c r="Y92" s="87">
        <f t="shared" si="21"/>
        <v>-4481374.3121728627</v>
      </c>
      <c r="Z92" s="87">
        <f t="shared" si="21"/>
        <v>-5975165.7495638169</v>
      </c>
      <c r="AA92" s="87">
        <f t="shared" si="21"/>
        <v>-7749043.0814655758</v>
      </c>
      <c r="AB92" s="87">
        <f t="shared" si="21"/>
        <v>-10073756.00590525</v>
      </c>
      <c r="AC92" s="87">
        <f t="shared" si="21"/>
        <v>-12697227.217823111</v>
      </c>
      <c r="AD92" s="87">
        <f t="shared" si="21"/>
        <v>-15871534.02227889</v>
      </c>
      <c r="AE92" s="25"/>
      <c r="AF92" s="25"/>
    </row>
    <row r="93" spans="2:33">
      <c r="B93" s="281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S93" s="95" t="s">
        <v>88</v>
      </c>
      <c r="T93" s="95"/>
      <c r="U93" s="87">
        <f t="shared" ref="U93:AD93" si="22">-U63*U$81*$T$20</f>
        <v>-109837.60569051134</v>
      </c>
      <c r="V93" s="87">
        <f t="shared" si="22"/>
        <v>-164756.40853576703</v>
      </c>
      <c r="W93" s="87">
        <f t="shared" si="22"/>
        <v>-274594.01422627835</v>
      </c>
      <c r="X93" s="87">
        <f t="shared" si="22"/>
        <v>-439350.42276204535</v>
      </c>
      <c r="Y93" s="87">
        <f t="shared" si="22"/>
        <v>-659025.63414306811</v>
      </c>
      <c r="Z93" s="87">
        <f t="shared" si="22"/>
        <v>-878700.84552409069</v>
      </c>
      <c r="AA93" s="87">
        <f t="shared" si="22"/>
        <v>-1139565.1590390552</v>
      </c>
      <c r="AB93" s="87">
        <f t="shared" si="22"/>
        <v>-1481434.706750772</v>
      </c>
      <c r="AC93" s="87">
        <f t="shared" si="22"/>
        <v>-1867239.2967386928</v>
      </c>
      <c r="AD93" s="87">
        <f t="shared" si="22"/>
        <v>-2334049.1209233664</v>
      </c>
      <c r="AE93" s="3"/>
      <c r="AF93" s="3"/>
    </row>
    <row r="94" spans="2:33">
      <c r="B94" s="282"/>
      <c r="C94" s="25"/>
      <c r="D94" s="229"/>
      <c r="E94" s="25"/>
      <c r="F94" s="56"/>
      <c r="G94" s="25"/>
      <c r="H94" s="229"/>
      <c r="I94" s="25"/>
      <c r="J94" s="25"/>
      <c r="K94" s="25"/>
      <c r="L94" s="25"/>
      <c r="M94" s="25"/>
      <c r="N94" s="25"/>
      <c r="S94" s="95" t="s">
        <v>87</v>
      </c>
      <c r="T94" s="95"/>
      <c r="U94" s="87">
        <f t="shared" ref="U94:AD94" si="23">-U64*U$81*$T$20</f>
        <v>-23266.675614011539</v>
      </c>
      <c r="V94" s="87">
        <f t="shared" si="23"/>
        <v>-34900.013421017313</v>
      </c>
      <c r="W94" s="87">
        <f t="shared" si="23"/>
        <v>-58166.68903502886</v>
      </c>
      <c r="X94" s="87">
        <f t="shared" si="23"/>
        <v>-93066.702456046158</v>
      </c>
      <c r="Y94" s="87">
        <f t="shared" si="23"/>
        <v>-139600.05368406925</v>
      </c>
      <c r="Z94" s="87">
        <f t="shared" si="23"/>
        <v>-186133.40491209232</v>
      </c>
      <c r="AA94" s="87">
        <f t="shared" si="23"/>
        <v>-241391.7594953698</v>
      </c>
      <c r="AB94" s="87">
        <f t="shared" si="23"/>
        <v>-313809.28734398074</v>
      </c>
      <c r="AC94" s="87">
        <f t="shared" si="23"/>
        <v>-395533.48543819622</v>
      </c>
      <c r="AD94" s="87">
        <f t="shared" si="23"/>
        <v>-494416.85679774539</v>
      </c>
      <c r="AE94" s="25"/>
      <c r="AF94" s="3"/>
    </row>
    <row r="95" spans="2:33">
      <c r="B95" s="282"/>
      <c r="C95" s="25"/>
      <c r="D95" s="229"/>
      <c r="E95" s="25"/>
      <c r="F95" s="56"/>
      <c r="G95" s="25"/>
      <c r="H95" s="229"/>
      <c r="I95" s="25"/>
      <c r="J95" s="25"/>
      <c r="K95" s="25"/>
      <c r="L95" s="25"/>
      <c r="M95" s="25"/>
      <c r="N95" s="25"/>
      <c r="S95" s="96" t="s">
        <v>94</v>
      </c>
      <c r="T95" s="96"/>
      <c r="U95" s="70">
        <f>SUM(U92:U94)</f>
        <v>-880000</v>
      </c>
      <c r="V95" s="70">
        <f t="shared" ref="V95:AD95" si="24">SUM(V92:V94)</f>
        <v>-1320000</v>
      </c>
      <c r="W95" s="70">
        <f t="shared" si="24"/>
        <v>-2200000</v>
      </c>
      <c r="X95" s="70">
        <f t="shared" si="24"/>
        <v>-3520000</v>
      </c>
      <c r="Y95" s="70">
        <f t="shared" si="24"/>
        <v>-5280000</v>
      </c>
      <c r="Z95" s="70">
        <f t="shared" si="24"/>
        <v>-7040000</v>
      </c>
      <c r="AA95" s="70">
        <f t="shared" si="24"/>
        <v>-9130000.0000000019</v>
      </c>
      <c r="AB95" s="70">
        <f t="shared" si="24"/>
        <v>-11869000.000000002</v>
      </c>
      <c r="AC95" s="70">
        <f t="shared" si="24"/>
        <v>-14960000</v>
      </c>
      <c r="AD95" s="70">
        <f t="shared" si="24"/>
        <v>-18700000</v>
      </c>
      <c r="AE95" s="48"/>
      <c r="AF95" s="48"/>
    </row>
    <row r="96" spans="2:33">
      <c r="B96" s="282"/>
      <c r="C96" s="25"/>
      <c r="D96" s="229"/>
      <c r="E96" s="25"/>
      <c r="F96" s="56"/>
      <c r="G96" s="25"/>
      <c r="H96" s="229"/>
      <c r="I96" s="25"/>
      <c r="J96" s="25"/>
      <c r="K96" s="25"/>
      <c r="L96" s="25"/>
      <c r="M96" s="25"/>
      <c r="N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</row>
    <row r="97" spans="2:32">
      <c r="B97" s="282"/>
      <c r="C97" s="25"/>
      <c r="D97" s="229"/>
      <c r="E97" s="25"/>
      <c r="F97" s="56"/>
      <c r="G97" s="25"/>
      <c r="H97" s="229"/>
      <c r="I97" s="25"/>
      <c r="J97" s="25"/>
      <c r="K97" s="25"/>
      <c r="L97" s="25"/>
      <c r="M97" s="25"/>
      <c r="N97" s="25"/>
      <c r="S97" s="3" t="s">
        <v>24</v>
      </c>
      <c r="T97" s="3"/>
    </row>
    <row r="98" spans="2:32">
      <c r="B98" s="282"/>
      <c r="C98" s="25"/>
      <c r="D98" s="229"/>
      <c r="E98" s="25"/>
      <c r="F98" s="56"/>
      <c r="G98" s="25"/>
      <c r="H98" s="229"/>
      <c r="I98" s="25"/>
      <c r="J98" s="25"/>
      <c r="K98" s="25"/>
      <c r="L98" s="25"/>
      <c r="M98" s="25"/>
      <c r="N98" s="25"/>
      <c r="S98" s="95" t="s">
        <v>90</v>
      </c>
      <c r="T98" s="95"/>
      <c r="U98" s="33">
        <f t="shared" ref="U98:AD98" si="25">-U68*$D$25</f>
        <v>-425000</v>
      </c>
      <c r="V98" s="33">
        <f t="shared" si="25"/>
        <v>-637500</v>
      </c>
      <c r="W98" s="33">
        <f t="shared" si="25"/>
        <v>-1062500</v>
      </c>
      <c r="X98" s="33">
        <f t="shared" si="25"/>
        <v>-1700000</v>
      </c>
      <c r="Y98" s="33">
        <f t="shared" si="25"/>
        <v>-2550000</v>
      </c>
      <c r="Z98" s="33">
        <f t="shared" si="25"/>
        <v>-3400000</v>
      </c>
      <c r="AA98" s="33">
        <f t="shared" si="25"/>
        <v>-4250000</v>
      </c>
      <c r="AB98" s="33">
        <f t="shared" si="25"/>
        <v>-5525000</v>
      </c>
      <c r="AC98" s="33">
        <f t="shared" si="25"/>
        <v>-6800000</v>
      </c>
      <c r="AD98" s="33">
        <f t="shared" si="25"/>
        <v>-8500000</v>
      </c>
    </row>
    <row r="99" spans="2:32">
      <c r="B99" s="282"/>
      <c r="C99" s="25"/>
      <c r="D99" s="229"/>
      <c r="E99" s="25"/>
      <c r="F99" s="56"/>
      <c r="G99" s="25"/>
      <c r="H99" s="229"/>
      <c r="I99" s="25"/>
      <c r="J99" s="25"/>
      <c r="K99" s="25"/>
      <c r="L99" s="25"/>
      <c r="M99" s="25"/>
      <c r="N99" s="25"/>
      <c r="S99" s="95" t="s">
        <v>88</v>
      </c>
      <c r="T99" s="95"/>
      <c r="U99" s="33">
        <f t="shared" ref="U99:AD99" si="26">-U69*$F$25</f>
        <v>-31250</v>
      </c>
      <c r="V99" s="33">
        <f t="shared" si="26"/>
        <v>-46875</v>
      </c>
      <c r="W99" s="33">
        <f t="shared" si="26"/>
        <v>-78125</v>
      </c>
      <c r="X99" s="33">
        <f t="shared" si="26"/>
        <v>-125000</v>
      </c>
      <c r="Y99" s="33">
        <f t="shared" si="26"/>
        <v>-187500</v>
      </c>
      <c r="Z99" s="33">
        <f t="shared" si="26"/>
        <v>-250000</v>
      </c>
      <c r="AA99" s="33">
        <f t="shared" si="26"/>
        <v>-312500</v>
      </c>
      <c r="AB99" s="33">
        <f t="shared" si="26"/>
        <v>-406250</v>
      </c>
      <c r="AC99" s="33">
        <f t="shared" si="26"/>
        <v>-500000</v>
      </c>
      <c r="AD99" s="33">
        <f t="shared" si="26"/>
        <v>-625000</v>
      </c>
    </row>
    <row r="100" spans="2:32">
      <c r="B100" s="282"/>
      <c r="C100" s="25"/>
      <c r="D100" s="229"/>
      <c r="E100" s="25"/>
      <c r="F100" s="56"/>
      <c r="G100" s="25"/>
      <c r="H100" s="229"/>
      <c r="I100" s="25"/>
      <c r="J100" s="25"/>
      <c r="K100" s="25"/>
      <c r="L100" s="25"/>
      <c r="M100" s="25"/>
      <c r="N100" s="25"/>
      <c r="S100" s="95" t="s">
        <v>87</v>
      </c>
      <c r="T100" s="95"/>
      <c r="U100" s="33">
        <f t="shared" ref="U100:AD100" si="27">-U70*$H$25</f>
        <v>-187500</v>
      </c>
      <c r="V100" s="33">
        <f t="shared" si="27"/>
        <v>-281250</v>
      </c>
      <c r="W100" s="33">
        <f t="shared" si="27"/>
        <v>-468750</v>
      </c>
      <c r="X100" s="33">
        <f t="shared" si="27"/>
        <v>-750000</v>
      </c>
      <c r="Y100" s="33">
        <f t="shared" si="27"/>
        <v>-1125000</v>
      </c>
      <c r="Z100" s="33">
        <f t="shared" si="27"/>
        <v>-1500000</v>
      </c>
      <c r="AA100" s="33">
        <f t="shared" si="27"/>
        <v>-1875000</v>
      </c>
      <c r="AB100" s="33">
        <f t="shared" si="27"/>
        <v>-2437500</v>
      </c>
      <c r="AC100" s="33">
        <f t="shared" si="27"/>
        <v>-3000000</v>
      </c>
      <c r="AD100" s="33">
        <f t="shared" si="27"/>
        <v>-3750000</v>
      </c>
    </row>
    <row r="101" spans="2:3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S101" s="96" t="s">
        <v>95</v>
      </c>
      <c r="T101" s="96"/>
      <c r="U101" s="97">
        <f>SUM(U98:U100)</f>
        <v>-643750</v>
      </c>
      <c r="V101" s="97">
        <f t="shared" ref="V101:AD101" si="28">SUM(V98:V100)</f>
        <v>-965625</v>
      </c>
      <c r="W101" s="97">
        <f t="shared" si="28"/>
        <v>-1609375</v>
      </c>
      <c r="X101" s="97">
        <f t="shared" si="28"/>
        <v>-2575000</v>
      </c>
      <c r="Y101" s="97">
        <f t="shared" si="28"/>
        <v>-3862500</v>
      </c>
      <c r="Z101" s="97">
        <f t="shared" si="28"/>
        <v>-5150000</v>
      </c>
      <c r="AA101" s="97">
        <f t="shared" si="28"/>
        <v>-6437500</v>
      </c>
      <c r="AB101" s="97">
        <f t="shared" si="28"/>
        <v>-8368750</v>
      </c>
      <c r="AC101" s="97">
        <f t="shared" si="28"/>
        <v>-10300000</v>
      </c>
      <c r="AD101" s="97">
        <f t="shared" si="28"/>
        <v>-12875000</v>
      </c>
      <c r="AE101" s="48"/>
      <c r="AF101" s="48"/>
    </row>
    <row r="102" spans="2:32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</row>
    <row r="103" spans="2:32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S103" s="3" t="s">
        <v>96</v>
      </c>
      <c r="T103" s="3"/>
    </row>
    <row r="104" spans="2:32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S104" s="95" t="s">
        <v>99</v>
      </c>
      <c r="T104" s="95"/>
      <c r="U104" s="36">
        <f>U85+U92+U98</f>
        <v>953104.28130452288</v>
      </c>
      <c r="V104" s="36">
        <f t="shared" ref="V104:AD104" si="29">V85+V92+V98</f>
        <v>1429656.4219567843</v>
      </c>
      <c r="W104" s="36">
        <f t="shared" si="29"/>
        <v>2382760.7032613074</v>
      </c>
      <c r="X104" s="36">
        <f t="shared" si="29"/>
        <v>3812417.1252180915</v>
      </c>
      <c r="Y104" s="36">
        <f t="shared" si="29"/>
        <v>5718625.6878271373</v>
      </c>
      <c r="Z104" s="36">
        <f t="shared" si="29"/>
        <v>7624834.2504361831</v>
      </c>
      <c r="AA104" s="36">
        <f t="shared" si="29"/>
        <v>9250956.9185344242</v>
      </c>
      <c r="AB104" s="36">
        <f t="shared" si="29"/>
        <v>12026243.994094752</v>
      </c>
      <c r="AC104" s="36">
        <f t="shared" si="29"/>
        <v>14502772.782176889</v>
      </c>
      <c r="AD104" s="36">
        <f t="shared" si="29"/>
        <v>18128465.97772111</v>
      </c>
      <c r="AE104" s="36"/>
      <c r="AF104" s="36"/>
    </row>
    <row r="105" spans="2:32">
      <c r="S105" s="95" t="s">
        <v>88</v>
      </c>
      <c r="T105" s="95"/>
      <c r="U105" s="36">
        <f t="shared" ref="U105:AD106" si="30">U86+U93+U99</f>
        <v>15162.394309488664</v>
      </c>
      <c r="V105" s="36">
        <f t="shared" si="30"/>
        <v>22743.591464232974</v>
      </c>
      <c r="W105" s="36">
        <f t="shared" si="30"/>
        <v>37905.985773721652</v>
      </c>
      <c r="X105" s="36">
        <f t="shared" si="30"/>
        <v>60649.577237954654</v>
      </c>
      <c r="Y105" s="36">
        <f t="shared" si="30"/>
        <v>90974.365856931894</v>
      </c>
      <c r="Z105" s="36">
        <f t="shared" si="30"/>
        <v>121299.15447590931</v>
      </c>
      <c r="AA105" s="36">
        <f t="shared" si="30"/>
        <v>110434.84096094477</v>
      </c>
      <c r="AB105" s="36">
        <f t="shared" si="30"/>
        <v>143565.29324922804</v>
      </c>
      <c r="AC105" s="36">
        <f t="shared" si="30"/>
        <v>132760.70326130721</v>
      </c>
      <c r="AD105" s="36">
        <f t="shared" si="30"/>
        <v>165950.8790766336</v>
      </c>
      <c r="AE105" s="36"/>
      <c r="AF105" s="36"/>
    </row>
    <row r="106" spans="2:32">
      <c r="S106" s="95" t="s">
        <v>87</v>
      </c>
      <c r="T106" s="95"/>
      <c r="U106" s="36">
        <f t="shared" si="30"/>
        <v>-23266.675614011532</v>
      </c>
      <c r="V106" s="36">
        <f t="shared" si="30"/>
        <v>-34900.013421017327</v>
      </c>
      <c r="W106" s="36">
        <f t="shared" si="30"/>
        <v>-58166.68903502886</v>
      </c>
      <c r="X106" s="36">
        <f t="shared" si="30"/>
        <v>-93066.702456046129</v>
      </c>
      <c r="Y106" s="36">
        <f t="shared" si="30"/>
        <v>-139600.05368406931</v>
      </c>
      <c r="Z106" s="36">
        <f t="shared" si="30"/>
        <v>-186133.40491209226</v>
      </c>
      <c r="AA106" s="36">
        <f t="shared" si="30"/>
        <v>-241391.75949536986</v>
      </c>
      <c r="AB106" s="36">
        <f t="shared" si="30"/>
        <v>-313809.28734398074</v>
      </c>
      <c r="AC106" s="36">
        <f t="shared" si="30"/>
        <v>-395533.48543819599</v>
      </c>
      <c r="AD106" s="36">
        <f t="shared" si="30"/>
        <v>-494416.85679774545</v>
      </c>
      <c r="AE106" s="36"/>
      <c r="AF106" s="36"/>
    </row>
    <row r="107" spans="2:32">
      <c r="S107" s="95" t="s">
        <v>41</v>
      </c>
      <c r="T107" s="95"/>
      <c r="U107" s="36">
        <f>U88</f>
        <v>126249.99999999999</v>
      </c>
      <c r="V107" s="36">
        <f t="shared" ref="V107:AD107" si="31">V88</f>
        <v>189375</v>
      </c>
      <c r="W107" s="36">
        <f t="shared" si="31"/>
        <v>315625</v>
      </c>
      <c r="X107" s="36">
        <f t="shared" si="31"/>
        <v>504999.99999999994</v>
      </c>
      <c r="Y107" s="36">
        <f t="shared" si="31"/>
        <v>757500</v>
      </c>
      <c r="Z107" s="36">
        <f t="shared" si="31"/>
        <v>1009999.9999999999</v>
      </c>
      <c r="AA107" s="36">
        <f t="shared" si="31"/>
        <v>1262500</v>
      </c>
      <c r="AB107" s="36">
        <f t="shared" si="31"/>
        <v>1641249.9999999998</v>
      </c>
      <c r="AC107" s="36">
        <f t="shared" si="31"/>
        <v>2019999.9999999998</v>
      </c>
      <c r="AD107" s="36">
        <f t="shared" si="31"/>
        <v>2525000</v>
      </c>
      <c r="AE107" s="36"/>
      <c r="AF107" s="36"/>
    </row>
    <row r="108" spans="2:32">
      <c r="S108" s="96" t="s">
        <v>97</v>
      </c>
      <c r="T108" s="96"/>
      <c r="U108" s="97">
        <f>SUM(U104:U107)</f>
        <v>1071250</v>
      </c>
      <c r="V108" s="97">
        <f t="shared" ref="V108:AD108" si="32">SUM(V104:V107)</f>
        <v>1606875</v>
      </c>
      <c r="W108" s="97">
        <f t="shared" si="32"/>
        <v>2678125.0000000005</v>
      </c>
      <c r="X108" s="97">
        <f t="shared" si="32"/>
        <v>4285000</v>
      </c>
      <c r="Y108" s="97">
        <f t="shared" si="32"/>
        <v>6427500</v>
      </c>
      <c r="Z108" s="97">
        <f t="shared" si="32"/>
        <v>8570000</v>
      </c>
      <c r="AA108" s="97">
        <f t="shared" si="32"/>
        <v>10382499.999999998</v>
      </c>
      <c r="AB108" s="97">
        <f t="shared" si="32"/>
        <v>13497249.999999998</v>
      </c>
      <c r="AC108" s="97">
        <f t="shared" si="32"/>
        <v>16260000</v>
      </c>
      <c r="AD108" s="97">
        <f t="shared" si="32"/>
        <v>20325000</v>
      </c>
      <c r="AE108" s="97"/>
      <c r="AF108" s="97"/>
    </row>
    <row r="110" spans="2:32">
      <c r="S110" s="3" t="s">
        <v>25</v>
      </c>
      <c r="T110" s="3"/>
    </row>
    <row r="111" spans="2:32">
      <c r="S111" s="95" t="s">
        <v>90</v>
      </c>
      <c r="T111" s="95"/>
      <c r="U111" s="33">
        <f t="shared" ref="U111:AD111" si="33">-U104*$D$35</f>
        <v>-476552.14065226144</v>
      </c>
      <c r="V111" s="33">
        <f t="shared" si="33"/>
        <v>-714828.21097839216</v>
      </c>
      <c r="W111" s="33">
        <f t="shared" si="33"/>
        <v>-1191380.3516306537</v>
      </c>
      <c r="X111" s="33">
        <f t="shared" si="33"/>
        <v>-1906208.5626090458</v>
      </c>
      <c r="Y111" s="33">
        <f t="shared" si="33"/>
        <v>-2859312.8439135686</v>
      </c>
      <c r="Z111" s="33">
        <f t="shared" si="33"/>
        <v>-3812417.1252180915</v>
      </c>
      <c r="AA111" s="33">
        <f t="shared" si="33"/>
        <v>-4625478.4592672121</v>
      </c>
      <c r="AB111" s="33">
        <f t="shared" si="33"/>
        <v>-6013121.9970473759</v>
      </c>
      <c r="AC111" s="33">
        <f t="shared" si="33"/>
        <v>-7251386.3910884447</v>
      </c>
      <c r="AD111" s="33">
        <f t="shared" si="33"/>
        <v>-9064232.988860555</v>
      </c>
    </row>
    <row r="112" spans="2:32">
      <c r="S112" s="95" t="s">
        <v>88</v>
      </c>
      <c r="T112" s="95"/>
      <c r="U112" s="33">
        <f t="shared" ref="U112:AD112" si="34">-U105*$F$35</f>
        <v>-3032.4788618977327</v>
      </c>
      <c r="V112" s="33">
        <f t="shared" si="34"/>
        <v>-4548.7182928465945</v>
      </c>
      <c r="W112" s="33">
        <f t="shared" si="34"/>
        <v>-7581.1971547443309</v>
      </c>
      <c r="X112" s="33">
        <f t="shared" si="34"/>
        <v>-12129.915447590931</v>
      </c>
      <c r="Y112" s="33">
        <f t="shared" si="34"/>
        <v>-18194.873171386378</v>
      </c>
      <c r="Z112" s="33">
        <f t="shared" si="34"/>
        <v>-24259.830895181862</v>
      </c>
      <c r="AA112" s="33">
        <f t="shared" si="34"/>
        <v>-22086.968192188957</v>
      </c>
      <c r="AB112" s="33">
        <f t="shared" si="34"/>
        <v>-28713.05864984561</v>
      </c>
      <c r="AC112" s="33">
        <f t="shared" si="34"/>
        <v>-26552.140652261442</v>
      </c>
      <c r="AD112" s="33">
        <f t="shared" si="34"/>
        <v>-33190.175815326722</v>
      </c>
    </row>
    <row r="113" spans="19:32">
      <c r="S113" s="95" t="s">
        <v>87</v>
      </c>
      <c r="T113" s="95"/>
      <c r="U113" s="33">
        <f t="shared" ref="U113:AD113" si="35">-U70*$H$35</f>
        <v>-125000</v>
      </c>
      <c r="V113" s="33">
        <f t="shared" si="35"/>
        <v>-187500</v>
      </c>
      <c r="W113" s="33">
        <f t="shared" si="35"/>
        <v>-312500</v>
      </c>
      <c r="X113" s="33">
        <f t="shared" si="35"/>
        <v>-500000</v>
      </c>
      <c r="Y113" s="33">
        <f t="shared" si="35"/>
        <v>-750000</v>
      </c>
      <c r="Z113" s="33">
        <f t="shared" si="35"/>
        <v>-1000000</v>
      </c>
      <c r="AA113" s="33">
        <f t="shared" si="35"/>
        <v>-1250000</v>
      </c>
      <c r="AB113" s="33">
        <f t="shared" si="35"/>
        <v>-1625000</v>
      </c>
      <c r="AC113" s="33">
        <f t="shared" si="35"/>
        <v>-2000000</v>
      </c>
      <c r="AD113" s="33">
        <f t="shared" si="35"/>
        <v>-2500000</v>
      </c>
    </row>
    <row r="114" spans="19:32">
      <c r="S114" s="95" t="s">
        <v>41</v>
      </c>
      <c r="T114" s="95"/>
      <c r="U114" s="171">
        <f>-T36</f>
        <v>-2000000</v>
      </c>
      <c r="V114" s="33">
        <f>U114</f>
        <v>-2000000</v>
      </c>
      <c r="W114" s="33">
        <f t="shared" ref="W114:AD114" si="36">V114</f>
        <v>-2000000</v>
      </c>
      <c r="X114" s="33">
        <f t="shared" si="36"/>
        <v>-2000000</v>
      </c>
      <c r="Y114" s="33">
        <f t="shared" si="36"/>
        <v>-2000000</v>
      </c>
      <c r="Z114" s="33">
        <f t="shared" si="36"/>
        <v>-2000000</v>
      </c>
      <c r="AA114" s="33">
        <f t="shared" si="36"/>
        <v>-2000000</v>
      </c>
      <c r="AB114" s="33">
        <f t="shared" si="36"/>
        <v>-2000000</v>
      </c>
      <c r="AC114" s="33">
        <f t="shared" si="36"/>
        <v>-2000000</v>
      </c>
      <c r="AD114" s="33">
        <f t="shared" si="36"/>
        <v>-2000000</v>
      </c>
    </row>
    <row r="115" spans="19:32">
      <c r="S115" s="95" t="s">
        <v>98</v>
      </c>
      <c r="T115" s="172">
        <f>-T35</f>
        <v>-5000000</v>
      </c>
      <c r="U115" s="33">
        <v>0</v>
      </c>
      <c r="V115" s="33">
        <v>0</v>
      </c>
      <c r="W115" s="33">
        <v>0</v>
      </c>
      <c r="X115" s="33">
        <v>0</v>
      </c>
      <c r="Y115" s="33">
        <v>0</v>
      </c>
      <c r="Z115" s="33">
        <v>0</v>
      </c>
      <c r="AA115" s="33">
        <v>0</v>
      </c>
      <c r="AB115" s="33">
        <v>0</v>
      </c>
      <c r="AC115" s="33">
        <v>0</v>
      </c>
      <c r="AD115" s="33">
        <v>0</v>
      </c>
    </row>
    <row r="116" spans="19:32">
      <c r="S116" s="96" t="s">
        <v>100</v>
      </c>
      <c r="T116" s="98">
        <f>SUM(T111:T115)</f>
        <v>-5000000</v>
      </c>
      <c r="U116" s="98">
        <f>SUM(U111:U115)</f>
        <v>-2604584.6195141589</v>
      </c>
      <c r="V116" s="98">
        <f t="shared" ref="V116:AD116" si="37">SUM(V111:V115)</f>
        <v>-2906876.9292712389</v>
      </c>
      <c r="W116" s="98">
        <f t="shared" si="37"/>
        <v>-3511461.5487853978</v>
      </c>
      <c r="X116" s="98">
        <f t="shared" si="37"/>
        <v>-4418338.4780566366</v>
      </c>
      <c r="Y116" s="98">
        <f t="shared" si="37"/>
        <v>-5627507.7170849554</v>
      </c>
      <c r="Z116" s="98">
        <f t="shared" si="37"/>
        <v>-6836676.9561132733</v>
      </c>
      <c r="AA116" s="98">
        <f t="shared" si="37"/>
        <v>-7897565.4274594011</v>
      </c>
      <c r="AB116" s="98">
        <f t="shared" si="37"/>
        <v>-9666835.0556972213</v>
      </c>
      <c r="AC116" s="98">
        <f t="shared" si="37"/>
        <v>-11277938.531740706</v>
      </c>
      <c r="AD116" s="98">
        <f t="shared" si="37"/>
        <v>-13597423.164675882</v>
      </c>
      <c r="AE116" s="97"/>
      <c r="AF116" s="97"/>
    </row>
    <row r="118" spans="19:32">
      <c r="S118" s="99" t="s">
        <v>29</v>
      </c>
      <c r="T118" s="100">
        <f>T108+T116</f>
        <v>-5000000</v>
      </c>
      <c r="U118" s="100">
        <f>U108+U116</f>
        <v>-1533334.6195141589</v>
      </c>
      <c r="V118" s="100">
        <f t="shared" ref="V118:AD118" si="38">V108+V116</f>
        <v>-1300001.9292712389</v>
      </c>
      <c r="W118" s="100">
        <f t="shared" si="38"/>
        <v>-833336.54878539732</v>
      </c>
      <c r="X118" s="100">
        <f t="shared" si="38"/>
        <v>-133338.47805663664</v>
      </c>
      <c r="Y118" s="100">
        <f t="shared" si="38"/>
        <v>799992.28291504458</v>
      </c>
      <c r="Z118" s="100">
        <f t="shared" si="38"/>
        <v>1733323.0438867267</v>
      </c>
      <c r="AA118" s="100">
        <f t="shared" si="38"/>
        <v>2484934.5725405971</v>
      </c>
      <c r="AB118" s="100">
        <f t="shared" si="38"/>
        <v>3830414.9443027768</v>
      </c>
      <c r="AC118" s="100">
        <f t="shared" si="38"/>
        <v>4982061.4682592936</v>
      </c>
      <c r="AD118" s="100">
        <f t="shared" si="38"/>
        <v>6727576.8353241179</v>
      </c>
      <c r="AF118" s="47">
        <f>SUM(T118:AD118)</f>
        <v>11758291.571601126</v>
      </c>
    </row>
    <row r="119" spans="19:32">
      <c r="AF119">
        <f>SUM(T119:AD119)</f>
        <v>0</v>
      </c>
    </row>
    <row r="125" spans="19:32">
      <c r="V125" s="136"/>
      <c r="W125" s="33"/>
      <c r="X125" s="33"/>
    </row>
    <row r="126" spans="19:32">
      <c r="V126" s="136"/>
      <c r="W126" s="33"/>
      <c r="X126" s="33"/>
    </row>
    <row r="127" spans="19:32">
      <c r="V127" s="136"/>
      <c r="W127" s="33"/>
      <c r="X127" s="33"/>
    </row>
  </sheetData>
  <pageMargins left="0.25" right="0.25" top="0.75" bottom="0.75" header="0.3" footer="0.3"/>
  <pageSetup scale="49" orientation="landscape" horizontalDpi="4294967292" verticalDpi="4294967292" r:id="rId1"/>
  <rowBreaks count="2" manualBreakCount="2">
    <brk id="56" max="31" man="1"/>
    <brk id="119" max="31" man="1"/>
  </rowBreaks>
  <colBreaks count="1" manualBreakCount="1">
    <brk id="17" max="110" man="1"/>
  </colBreaks>
  <ignoredErrors>
    <ignoredError sqref="P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062AB-DDEE-6448-9446-A762E0F75070}">
  <sheetPr>
    <tabColor theme="5" tint="0.39997558519241921"/>
  </sheetPr>
  <dimension ref="A1:AG119"/>
  <sheetViews>
    <sheetView showGridLines="0" view="pageBreakPreview" topLeftCell="A25" zoomScale="82" zoomScaleNormal="85" zoomScaleSheetLayoutView="82" zoomScalePageLayoutView="96" workbookViewId="0">
      <selection activeCell="P53" sqref="P53"/>
    </sheetView>
  </sheetViews>
  <sheetFormatPr defaultColWidth="10.625" defaultRowHeight="15.75" outlineLevelRow="1" outlineLevelCol="1"/>
  <cols>
    <col min="1" max="1" width="3.375" customWidth="1"/>
    <col min="2" max="2" width="36.5" customWidth="1"/>
    <col min="3" max="3" width="3.125" customWidth="1"/>
    <col min="4" max="4" width="14.625" customWidth="1"/>
    <col min="5" max="5" width="2.625" customWidth="1"/>
    <col min="6" max="6" width="14.625" customWidth="1"/>
    <col min="7" max="7" width="2.625" customWidth="1"/>
    <col min="8" max="8" width="13.875" customWidth="1"/>
    <col min="9" max="9" width="2.625" customWidth="1"/>
    <col min="10" max="10" width="12.875" hidden="1" customWidth="1" outlineLevel="1"/>
    <col min="11" max="11" width="2.625" hidden="1" customWidth="1" outlineLevel="1"/>
    <col min="12" max="12" width="12.875" hidden="1" customWidth="1" outlineLevel="1"/>
    <col min="13" max="13" width="2.375" hidden="1" customWidth="1" outlineLevel="1"/>
    <col min="14" max="14" width="13.875" customWidth="1" collapsed="1"/>
    <col min="15" max="15" width="2.875" customWidth="1"/>
    <col min="16" max="16" width="15.875" customWidth="1"/>
    <col min="17" max="18" width="2.875" customWidth="1"/>
    <col min="19" max="19" width="30.625" customWidth="1"/>
    <col min="20" max="20" width="16.5" customWidth="1"/>
    <col min="21" max="21" width="15.375" customWidth="1"/>
    <col min="22" max="22" width="12.375" customWidth="1"/>
    <col min="23" max="23" width="13.5" customWidth="1"/>
    <col min="24" max="24" width="13.875" customWidth="1"/>
    <col min="25" max="25" width="13.5" customWidth="1"/>
    <col min="26" max="26" width="14.875" customWidth="1"/>
    <col min="27" max="27" width="13.375" customWidth="1"/>
    <col min="28" max="29" width="13.625" customWidth="1"/>
    <col min="30" max="30" width="16.125" customWidth="1"/>
    <col min="31" max="31" width="4.5" customWidth="1"/>
    <col min="32" max="32" width="13.625" customWidth="1"/>
    <col min="33" max="33" width="2.625" customWidth="1"/>
    <col min="34" max="34" width="15" customWidth="1"/>
  </cols>
  <sheetData>
    <row r="1" spans="1:23" ht="18.75">
      <c r="A1" s="80" t="s">
        <v>151</v>
      </c>
      <c r="B1" s="81"/>
    </row>
    <row r="3" spans="1:23">
      <c r="B3" s="4" t="s">
        <v>209</v>
      </c>
      <c r="S3" s="4" t="s">
        <v>152</v>
      </c>
      <c r="T3" s="4"/>
    </row>
    <row r="4" spans="1:23" s="7" customFormat="1" ht="31.5">
      <c r="D4" s="11" t="s">
        <v>17</v>
      </c>
      <c r="F4" s="11" t="s">
        <v>59</v>
      </c>
      <c r="H4" s="11" t="s">
        <v>87</v>
      </c>
      <c r="J4" s="11"/>
      <c r="L4" s="11" t="s">
        <v>105</v>
      </c>
      <c r="N4" s="11" t="s">
        <v>104</v>
      </c>
      <c r="P4" s="12" t="s">
        <v>100</v>
      </c>
    </row>
    <row r="5" spans="1:23">
      <c r="P5" s="13"/>
      <c r="S5" t="s">
        <v>28</v>
      </c>
      <c r="T5" s="10">
        <f>P6</f>
        <v>1016729436.1661481</v>
      </c>
    </row>
    <row r="6" spans="1:23">
      <c r="B6" t="s">
        <v>28</v>
      </c>
      <c r="D6" s="10">
        <f>D11/(1-D8)</f>
        <v>862944162.43654823</v>
      </c>
      <c r="F6" s="10">
        <f>F11/(1-F8)</f>
        <v>126903553.29949239</v>
      </c>
      <c r="H6" s="10">
        <f>H11/(1-H8)</f>
        <v>26881720.43010753</v>
      </c>
      <c r="P6" s="16">
        <f>D6+J6+L6+N6+F6+H6</f>
        <v>1016729436.1661481</v>
      </c>
      <c r="S6" s="5" t="s">
        <v>68</v>
      </c>
      <c r="T6" s="82">
        <f>P7</f>
        <v>-16729436.166148135</v>
      </c>
      <c r="U6" s="21">
        <f>T6/T5</f>
        <v>-1.6454167225875723E-2</v>
      </c>
      <c r="V6" t="s">
        <v>71</v>
      </c>
    </row>
    <row r="7" spans="1:23">
      <c r="B7" t="s">
        <v>66</v>
      </c>
      <c r="D7" s="10">
        <f>-D6*D8</f>
        <v>-12944162.436548224</v>
      </c>
      <c r="F7" s="10">
        <f>-F6*F8</f>
        <v>-1903553.2994923857</v>
      </c>
      <c r="H7" s="10">
        <f>-H6*H8</f>
        <v>-1881720.4301075272</v>
      </c>
      <c r="P7" s="16">
        <f>D7+J7+L7+N7+F7+H7</f>
        <v>-16729436.166148135</v>
      </c>
      <c r="S7" s="10" t="s">
        <v>20</v>
      </c>
      <c r="T7" s="10">
        <f>T5+T6</f>
        <v>999999999.99999988</v>
      </c>
      <c r="U7" s="9"/>
    </row>
    <row r="8" spans="1:23">
      <c r="B8" t="s">
        <v>67</v>
      </c>
      <c r="D8" s="148">
        <f>1.5%</f>
        <v>1.4999999999999999E-2</v>
      </c>
      <c r="E8" s="173"/>
      <c r="F8" s="148">
        <f>1.5%</f>
        <v>1.4999999999999999E-2</v>
      </c>
      <c r="G8" s="173"/>
      <c r="H8" s="170">
        <v>7.0000000000000007E-2</v>
      </c>
      <c r="P8" s="224">
        <f>-P7/P6</f>
        <v>1.6454167225875723E-2</v>
      </c>
      <c r="U8" s="9"/>
    </row>
    <row r="9" spans="1:23">
      <c r="B9" s="191" t="s">
        <v>20</v>
      </c>
      <c r="C9" t="s">
        <v>4</v>
      </c>
      <c r="D9" s="33">
        <f>D6+D7</f>
        <v>850000000</v>
      </c>
      <c r="F9" s="33">
        <f>F6+F7</f>
        <v>125000000</v>
      </c>
      <c r="H9" s="33">
        <f>H6+H7</f>
        <v>25000000.000000004</v>
      </c>
      <c r="P9" s="14">
        <f>D9+J9+L9+N9+F9+H9</f>
        <v>1000000000</v>
      </c>
      <c r="S9" t="s">
        <v>70</v>
      </c>
      <c r="T9" s="10">
        <f>U9*T7</f>
        <v>100000000</v>
      </c>
      <c r="U9" s="9">
        <v>0.1</v>
      </c>
      <c r="V9" t="s">
        <v>72</v>
      </c>
      <c r="W9" t="s">
        <v>103</v>
      </c>
    </row>
    <row r="10" spans="1:23">
      <c r="D10" s="33"/>
      <c r="F10" s="33"/>
      <c r="H10" s="33"/>
      <c r="P10" s="13"/>
    </row>
    <row r="11" spans="1:23">
      <c r="B11" s="23" t="s">
        <v>20</v>
      </c>
      <c r="C11" s="23"/>
      <c r="D11" s="27">
        <v>850000000</v>
      </c>
      <c r="E11" s="27"/>
      <c r="F11" s="27">
        <v>125000000</v>
      </c>
      <c r="G11" s="27"/>
      <c r="H11" s="27">
        <v>25000000</v>
      </c>
      <c r="I11" s="27"/>
      <c r="J11" s="27"/>
      <c r="K11" s="27"/>
      <c r="L11" s="27"/>
      <c r="M11" s="23"/>
      <c r="N11" s="23"/>
      <c r="O11" s="23"/>
      <c r="P11" s="28">
        <f>D11+J11+L11+N11+F11+H11</f>
        <v>1000000000</v>
      </c>
      <c r="S11" s="79" t="s">
        <v>21</v>
      </c>
      <c r="T11" s="83">
        <f>T7+T9</f>
        <v>1100000000</v>
      </c>
    </row>
    <row r="12" spans="1:23">
      <c r="B12" s="23" t="s">
        <v>18</v>
      </c>
      <c r="C12" s="23"/>
      <c r="D12" s="27">
        <v>5000000</v>
      </c>
      <c r="E12" s="27"/>
      <c r="F12" s="27">
        <v>2000000</v>
      </c>
      <c r="G12" s="27"/>
      <c r="H12" s="27">
        <v>35000</v>
      </c>
      <c r="I12" s="27"/>
      <c r="J12" s="27"/>
      <c r="K12" s="27"/>
      <c r="L12" s="27"/>
      <c r="M12" s="23"/>
      <c r="N12" s="23"/>
      <c r="O12" s="23"/>
      <c r="P12" s="28"/>
    </row>
    <row r="13" spans="1:23">
      <c r="B13" s="23" t="s">
        <v>19</v>
      </c>
      <c r="C13" s="23"/>
      <c r="D13" s="29">
        <f>INT(D11/D12)</f>
        <v>170</v>
      </c>
      <c r="E13" s="27"/>
      <c r="F13" s="29">
        <f>INT(F11/F12)</f>
        <v>62</v>
      </c>
      <c r="G13" s="27"/>
      <c r="H13" s="29">
        <f>INT(H11/H12)</f>
        <v>714</v>
      </c>
      <c r="I13" s="27"/>
      <c r="J13" s="29"/>
      <c r="K13" s="27"/>
      <c r="L13" s="29"/>
      <c r="M13" s="23"/>
      <c r="N13" s="23"/>
      <c r="O13" s="23"/>
      <c r="P13" s="28"/>
      <c r="S13" t="s">
        <v>69</v>
      </c>
      <c r="T13" s="10">
        <f>T11-T14</f>
        <v>935000000</v>
      </c>
    </row>
    <row r="14" spans="1:23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04"/>
      <c r="S14" t="s">
        <v>6</v>
      </c>
      <c r="T14" s="10">
        <f>T11*U14</f>
        <v>165000000</v>
      </c>
      <c r="U14" s="8">
        <v>0.15</v>
      </c>
      <c r="V14" t="s">
        <v>73</v>
      </c>
    </row>
    <row r="15" spans="1:23">
      <c r="B15" s="23" t="s">
        <v>104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30">
        <f>T9</f>
        <v>100000000</v>
      </c>
      <c r="O15" s="23"/>
      <c r="P15" s="28">
        <f>D15+J15+L15+N15+F15+H15</f>
        <v>100000000</v>
      </c>
      <c r="S15" s="79" t="s">
        <v>22</v>
      </c>
      <c r="T15" s="83">
        <f>T13+T14</f>
        <v>1100000000</v>
      </c>
    </row>
    <row r="16" spans="1:23">
      <c r="P16" s="13"/>
    </row>
    <row r="17" spans="2:22">
      <c r="P17" s="13"/>
      <c r="S17" t="s">
        <v>74</v>
      </c>
      <c r="T17" s="22">
        <f>T13/T5</f>
        <v>0.91961535364380631</v>
      </c>
    </row>
    <row r="18" spans="2:22">
      <c r="B18" t="s">
        <v>10</v>
      </c>
      <c r="D18" s="85">
        <v>0.05</v>
      </c>
      <c r="E18" s="85"/>
      <c r="F18" s="85">
        <v>2.5000000000000001E-2</v>
      </c>
      <c r="G18" s="85"/>
      <c r="H18" s="85">
        <v>0.15</v>
      </c>
      <c r="I18" s="9"/>
      <c r="J18" s="9"/>
      <c r="K18" s="9"/>
      <c r="L18" s="9"/>
      <c r="N18" s="85">
        <f>T21</f>
        <v>2.5249999999999998E-2</v>
      </c>
      <c r="P18" s="224">
        <f>P19/P$11</f>
        <v>5.1900000000000002E-2</v>
      </c>
    </row>
    <row r="19" spans="2:22">
      <c r="B19" t="s">
        <v>23</v>
      </c>
      <c r="D19" s="6">
        <f>D$11*D18</f>
        <v>42500000</v>
      </c>
      <c r="E19" s="6"/>
      <c r="F19" s="6">
        <f>F$11*F18</f>
        <v>3125000</v>
      </c>
      <c r="G19" s="6"/>
      <c r="H19" s="6">
        <f>H$11*H18</f>
        <v>3750000</v>
      </c>
      <c r="I19" s="6"/>
      <c r="J19" s="6"/>
      <c r="K19" s="6"/>
      <c r="L19" s="6"/>
      <c r="N19" s="10">
        <f>N18*N15</f>
        <v>2525000</v>
      </c>
      <c r="P19" s="14">
        <f>D19+J19+L19+N19+F19+H19</f>
        <v>51900000</v>
      </c>
      <c r="S19" s="4" t="s">
        <v>75</v>
      </c>
    </row>
    <row r="20" spans="2:22">
      <c r="P20" s="13"/>
      <c r="S20" t="s">
        <v>153</v>
      </c>
      <c r="T20" s="85">
        <v>0.02</v>
      </c>
      <c r="V20" t="s">
        <v>84</v>
      </c>
    </row>
    <row r="21" spans="2:22">
      <c r="B21" t="s">
        <v>11</v>
      </c>
      <c r="D21" s="222">
        <f>T20</f>
        <v>0.02</v>
      </c>
      <c r="E21" s="167"/>
      <c r="F21" s="222">
        <f>D21</f>
        <v>0.02</v>
      </c>
      <c r="G21" s="223"/>
      <c r="H21" s="222">
        <f>D21</f>
        <v>0.02</v>
      </c>
      <c r="J21" s="9"/>
      <c r="L21" s="9"/>
      <c r="P21" s="224">
        <f>-P23/P$11</f>
        <v>1.8700000000000005E-2</v>
      </c>
      <c r="S21" t="s">
        <v>77</v>
      </c>
      <c r="T21" s="85">
        <f>0.75*2%+0.25*4.1%</f>
        <v>2.5249999999999998E-2</v>
      </c>
      <c r="V21" t="s">
        <v>85</v>
      </c>
    </row>
    <row r="22" spans="2:22">
      <c r="B22" t="s">
        <v>74</v>
      </c>
      <c r="D22" s="222">
        <f>T17</f>
        <v>0.91961535364380631</v>
      </c>
      <c r="E22" s="167"/>
      <c r="F22" s="222">
        <f>D22</f>
        <v>0.91961535364380631</v>
      </c>
      <c r="G22" s="223"/>
      <c r="H22" s="222">
        <f>D22</f>
        <v>0.91961535364380631</v>
      </c>
      <c r="J22" s="9"/>
      <c r="L22" s="9"/>
      <c r="P22" s="20"/>
    </row>
    <row r="23" spans="2:22">
      <c r="B23" t="s">
        <v>12</v>
      </c>
      <c r="D23" s="10">
        <f>-D6*D21*D22</f>
        <v>-15871534.022278892</v>
      </c>
      <c r="E23" s="6"/>
      <c r="F23" s="10">
        <f>-F6*F21*F22</f>
        <v>-2334049.1209233664</v>
      </c>
      <c r="G23" s="6"/>
      <c r="H23" s="10">
        <f>-H6*H21*H22</f>
        <v>-494416.85679774539</v>
      </c>
      <c r="I23" s="6"/>
      <c r="J23" s="10"/>
      <c r="K23" s="6"/>
      <c r="L23" s="10"/>
      <c r="P23" s="16">
        <f>D23+J23+L23+N23+F23+H23</f>
        <v>-18700000.000000004</v>
      </c>
      <c r="V23" t="s">
        <v>114</v>
      </c>
    </row>
    <row r="24" spans="2:22">
      <c r="J24" s="10"/>
      <c r="P24" s="15"/>
      <c r="S24" t="s">
        <v>78</v>
      </c>
    </row>
    <row r="25" spans="2:22">
      <c r="B25" t="s">
        <v>13</v>
      </c>
      <c r="D25" s="118">
        <f>'Model-1-Low'!D25*2</f>
        <v>0.02</v>
      </c>
      <c r="E25" s="9"/>
      <c r="F25" s="118">
        <f>'Model-1-Low'!F25*2</f>
        <v>0.01</v>
      </c>
      <c r="G25" s="9"/>
      <c r="H25" s="118">
        <f>'Model-1-Low'!H25*2</f>
        <v>0.3</v>
      </c>
      <c r="I25" s="9"/>
      <c r="J25" s="10"/>
      <c r="K25" s="9"/>
      <c r="L25" s="9"/>
      <c r="P25" s="224">
        <f>-P26/P$11</f>
        <v>2.5749999999999999E-2</v>
      </c>
      <c r="S25" t="s">
        <v>79</v>
      </c>
      <c r="T25" s="139" t="s">
        <v>64</v>
      </c>
    </row>
    <row r="26" spans="2:22">
      <c r="B26" t="s">
        <v>15</v>
      </c>
      <c r="D26" s="10">
        <f>-D$11*D25</f>
        <v>-17000000</v>
      </c>
      <c r="E26" s="6"/>
      <c r="F26" s="10">
        <f>-F$11*F25</f>
        <v>-1250000</v>
      </c>
      <c r="G26" s="6"/>
      <c r="H26" s="10">
        <f>-H$11*H25</f>
        <v>-7500000</v>
      </c>
      <c r="I26" s="6"/>
      <c r="J26" s="10"/>
      <c r="K26" s="6"/>
      <c r="L26" s="10"/>
      <c r="P26" s="16">
        <f>D26+J26+L26+N26+F26+H26</f>
        <v>-25750000</v>
      </c>
      <c r="S26" t="s">
        <v>81</v>
      </c>
      <c r="T26" t="s">
        <v>80</v>
      </c>
    </row>
    <row r="27" spans="2:22">
      <c r="J27" s="10"/>
      <c r="P27" s="13"/>
      <c r="S27" t="s">
        <v>82</v>
      </c>
      <c r="T27" t="s">
        <v>80</v>
      </c>
    </row>
    <row r="28" spans="2:22">
      <c r="B28" t="s">
        <v>14</v>
      </c>
      <c r="D28" s="9">
        <f>D18-D21-D25</f>
        <v>1.0000000000000002E-2</v>
      </c>
      <c r="F28" s="9">
        <f>F18-F21-F25</f>
        <v>-4.9999999999999992E-3</v>
      </c>
      <c r="H28" s="158">
        <f>H18-H21-H25</f>
        <v>-0.16999999999999998</v>
      </c>
      <c r="J28" s="10"/>
      <c r="L28" s="9"/>
      <c r="P28" s="224">
        <f>P29/P$11</f>
        <v>7.4499999999999966E-3</v>
      </c>
      <c r="S28" t="s">
        <v>83</v>
      </c>
      <c r="T28" s="139" t="s">
        <v>65</v>
      </c>
    </row>
    <row r="29" spans="2:22">
      <c r="B29" s="24"/>
      <c r="C29" s="24"/>
      <c r="D29" s="220">
        <f>D19+D23+D26</f>
        <v>9628465.97772111</v>
      </c>
      <c r="E29" s="220"/>
      <c r="F29" s="220">
        <f>F19+F23+F26</f>
        <v>-459049.1209233664</v>
      </c>
      <c r="G29" s="220"/>
      <c r="H29" s="220">
        <f>H19+H23+H26</f>
        <v>-4244416.8567977455</v>
      </c>
      <c r="I29" s="220"/>
      <c r="J29" s="220"/>
      <c r="K29" s="220"/>
      <c r="L29" s="220"/>
      <c r="M29" s="220"/>
      <c r="N29" s="220">
        <f>N19+N23+N26</f>
        <v>2525000</v>
      </c>
      <c r="O29" s="198"/>
      <c r="P29" s="200">
        <f>P19+P23+P26</f>
        <v>7449999.9999999963</v>
      </c>
    </row>
    <row r="30" spans="2:22" s="69" customFormat="1">
      <c r="B30" s="68"/>
      <c r="C30" s="68"/>
      <c r="D30" s="192"/>
      <c r="E30" s="68"/>
      <c r="F30" s="192"/>
      <c r="G30" s="68"/>
      <c r="H30" s="193"/>
      <c r="I30" s="68"/>
      <c r="J30" s="193"/>
      <c r="K30" s="68"/>
      <c r="L30" s="192"/>
      <c r="M30" s="68"/>
      <c r="N30" s="193"/>
      <c r="O30" s="68"/>
      <c r="P30" s="194"/>
    </row>
    <row r="31" spans="2:22" s="215" customFormat="1">
      <c r="B31" s="215" t="s">
        <v>207</v>
      </c>
      <c r="D31" s="216">
        <v>0</v>
      </c>
      <c r="F31" s="216">
        <v>0</v>
      </c>
      <c r="H31" s="216">
        <v>0</v>
      </c>
      <c r="J31" s="217"/>
      <c r="L31" s="216"/>
      <c r="N31" s="216">
        <v>0</v>
      </c>
      <c r="P31" s="16">
        <f>D31+J31+L31+N31+F31+H31</f>
        <v>0</v>
      </c>
    </row>
    <row r="32" spans="2:22" s="69" customFormat="1">
      <c r="C32" s="68"/>
      <c r="D32" s="192"/>
      <c r="E32" s="68"/>
      <c r="F32" s="192"/>
      <c r="G32" s="68"/>
      <c r="H32" s="193"/>
      <c r="I32" s="68"/>
      <c r="J32" s="193"/>
      <c r="K32" s="68"/>
      <c r="L32" s="192"/>
      <c r="M32" s="68"/>
      <c r="N32" s="193"/>
      <c r="O32" s="68"/>
      <c r="P32" s="194"/>
    </row>
    <row r="33" spans="2:33" s="69" customFormat="1">
      <c r="B33" s="205" t="s">
        <v>208</v>
      </c>
      <c r="C33" s="205"/>
      <c r="D33" s="206">
        <f>D29+D31</f>
        <v>9628465.97772111</v>
      </c>
      <c r="E33" s="206"/>
      <c r="F33" s="206">
        <f t="shared" ref="F33:H33" si="0">F29+F31</f>
        <v>-459049.1209233664</v>
      </c>
      <c r="G33" s="206"/>
      <c r="H33" s="206">
        <f t="shared" si="0"/>
        <v>-4244416.8567977455</v>
      </c>
      <c r="I33" s="205"/>
      <c r="J33" s="207"/>
      <c r="K33" s="205"/>
      <c r="L33" s="208"/>
      <c r="M33" s="205"/>
      <c r="N33" s="206">
        <f t="shared" ref="N33" si="1">N29+N31</f>
        <v>2525000</v>
      </c>
      <c r="O33" s="205"/>
      <c r="P33" s="209">
        <f>D33+J33+L33+N33+F33+H33</f>
        <v>7449999.9999999981</v>
      </c>
    </row>
    <row r="34" spans="2:33">
      <c r="P34" s="13"/>
    </row>
    <row r="35" spans="2:33">
      <c r="B35" t="s">
        <v>56</v>
      </c>
      <c r="D35" s="118">
        <f>'Model-1-Low'!D35*1.5</f>
        <v>0.75</v>
      </c>
      <c r="E35" s="9"/>
      <c r="F35" s="118">
        <f>'Model-1-Low'!F35*1.5</f>
        <v>0.30000000000000004</v>
      </c>
      <c r="G35" s="9"/>
      <c r="H35" s="118">
        <f>'Model-1-Low'!H35*1.5</f>
        <v>0.15000000000000002</v>
      </c>
      <c r="J35" s="45"/>
      <c r="L35" s="8"/>
      <c r="P35" s="225">
        <f>-P36/P29</f>
        <v>1.454179160672997</v>
      </c>
    </row>
    <row r="36" spans="2:33">
      <c r="B36" t="s">
        <v>16</v>
      </c>
      <c r="D36" s="10">
        <f>-D35*D29</f>
        <v>-7221349.4832908325</v>
      </c>
      <c r="F36" s="10">
        <f>-F35*F29</f>
        <v>137714.73627700994</v>
      </c>
      <c r="H36" s="47">
        <f>-H35*H11</f>
        <v>-3750000.0000000005</v>
      </c>
      <c r="J36" s="47"/>
      <c r="L36" s="10"/>
      <c r="P36" s="16">
        <f>D36+J36+L36+N36+F36+H36</f>
        <v>-10833634.747013822</v>
      </c>
    </row>
    <row r="37" spans="2:33" hidden="1" outlineLevel="1">
      <c r="D37" s="10"/>
      <c r="F37" s="10"/>
      <c r="H37" s="47"/>
      <c r="J37" s="47"/>
      <c r="L37" s="10"/>
      <c r="P37" s="15"/>
    </row>
    <row r="38" spans="2:33" hidden="1" outlineLevel="1">
      <c r="B38" s="23" t="s">
        <v>30</v>
      </c>
      <c r="C38" s="23"/>
      <c r="D38" s="30">
        <f>D33+D36</f>
        <v>2407116.4944302775</v>
      </c>
      <c r="E38" s="30"/>
      <c r="F38" s="30">
        <f t="shared" ref="F38:H38" si="2">F33+F36</f>
        <v>-321334.38464635646</v>
      </c>
      <c r="G38" s="30"/>
      <c r="H38" s="30">
        <f t="shared" si="2"/>
        <v>-7994416.8567977455</v>
      </c>
      <c r="I38" s="23"/>
      <c r="J38" s="58"/>
      <c r="K38" s="23"/>
      <c r="L38" s="30"/>
      <c r="M38" s="23"/>
      <c r="N38" s="30">
        <f t="shared" ref="N38" si="3">N33+N36</f>
        <v>2525000</v>
      </c>
      <c r="O38" s="23"/>
      <c r="P38" s="31">
        <f>P33+P36</f>
        <v>-3383634.7470138241</v>
      </c>
    </row>
    <row r="39" spans="2:33" collapsed="1">
      <c r="D39" t="s">
        <v>4</v>
      </c>
      <c r="H39" s="47"/>
      <c r="J39" s="47"/>
      <c r="P39" s="119"/>
    </row>
    <row r="40" spans="2:33">
      <c r="B40" t="s">
        <v>40</v>
      </c>
      <c r="H40" s="47"/>
      <c r="J40" s="47"/>
      <c r="N40" s="221">
        <f>'Model-1-Low'!N40*1.5</f>
        <v>-3000000</v>
      </c>
      <c r="P40" s="16">
        <f>D40+J40+L40+N40+F40+H40</f>
        <v>-3000000</v>
      </c>
    </row>
    <row r="41" spans="2:33">
      <c r="H41" s="47"/>
      <c r="J41" s="47"/>
      <c r="N41" s="240"/>
      <c r="P41" s="16"/>
    </row>
    <row r="42" spans="2:33">
      <c r="B42" s="205" t="s">
        <v>217</v>
      </c>
      <c r="C42" s="201"/>
      <c r="D42" s="202">
        <f>D36+D40</f>
        <v>-7221349.4832908325</v>
      </c>
      <c r="E42" s="201"/>
      <c r="F42" s="202">
        <f>F36+F40</f>
        <v>137714.73627700994</v>
      </c>
      <c r="G42" s="201"/>
      <c r="H42" s="202">
        <f>H36+H40</f>
        <v>-3750000.0000000005</v>
      </c>
      <c r="I42" s="201"/>
      <c r="J42" s="203"/>
      <c r="K42" s="201"/>
      <c r="L42" s="201"/>
      <c r="M42" s="201"/>
      <c r="N42" s="202">
        <f>N36+N40</f>
        <v>-3000000</v>
      </c>
      <c r="O42" s="201"/>
      <c r="P42" s="241">
        <f>D42+J42+L42+N42+F42+H42</f>
        <v>-13833634.747013822</v>
      </c>
    </row>
    <row r="43" spans="2:33">
      <c r="H43" s="47"/>
      <c r="J43" s="47"/>
      <c r="N43" s="240"/>
      <c r="P43" s="16"/>
    </row>
    <row r="44" spans="2:33">
      <c r="H44" s="47"/>
      <c r="J44" s="47"/>
      <c r="P44" s="13"/>
    </row>
    <row r="45" spans="2:33" s="17" customFormat="1" ht="16.5" thickBot="1">
      <c r="B45" s="210" t="s">
        <v>216</v>
      </c>
      <c r="C45" s="210"/>
      <c r="D45" s="211">
        <f>D33+D42</f>
        <v>2407116.4944302775</v>
      </c>
      <c r="E45" s="211"/>
      <c r="F45" s="211">
        <f>F33+F42</f>
        <v>-321334.38464635646</v>
      </c>
      <c r="G45" s="211"/>
      <c r="H45" s="211">
        <f>H33+H42</f>
        <v>-7994416.8567977455</v>
      </c>
      <c r="I45" s="211"/>
      <c r="J45" s="211"/>
      <c r="K45" s="211"/>
      <c r="L45" s="211"/>
      <c r="M45" s="211"/>
      <c r="N45" s="211">
        <f>N33+N42</f>
        <v>-475000</v>
      </c>
      <c r="O45" s="210"/>
      <c r="P45" s="212">
        <f>P33+P42</f>
        <v>-6383634.7470138241</v>
      </c>
      <c r="AG45"/>
    </row>
    <row r="46" spans="2:33" ht="16.5" thickTop="1">
      <c r="P46" s="3"/>
    </row>
    <row r="47" spans="2:33">
      <c r="B47" s="25" t="s">
        <v>222</v>
      </c>
      <c r="P47" s="3"/>
      <c r="Q47" s="25"/>
      <c r="R47" s="25"/>
      <c r="S47" s="25"/>
      <c r="T47" s="25"/>
      <c r="U47" s="78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</row>
    <row r="48" spans="2:33">
      <c r="B48" s="17"/>
      <c r="C48" s="17"/>
      <c r="D48" s="18"/>
      <c r="E48" s="17"/>
      <c r="F48" s="18"/>
      <c r="G48" s="17"/>
      <c r="H48" s="18"/>
      <c r="I48" s="17"/>
      <c r="J48" s="18"/>
      <c r="K48" s="17"/>
      <c r="L48" s="18"/>
      <c r="M48" s="17"/>
      <c r="N48" s="17"/>
      <c r="O48" s="17"/>
      <c r="P48" s="18"/>
      <c r="Q48" s="25"/>
      <c r="R48" s="55"/>
      <c r="S48" s="25"/>
      <c r="T48" s="25"/>
      <c r="U48" s="25"/>
      <c r="V48" s="25"/>
      <c r="W48" s="25"/>
      <c r="X48" s="25"/>
      <c r="Y48" s="25"/>
      <c r="Z48" s="25"/>
      <c r="AA48" s="25"/>
      <c r="AB48" s="71"/>
      <c r="AC48" s="25"/>
      <c r="AD48" s="25"/>
      <c r="AE48" s="25"/>
      <c r="AF48" s="25"/>
      <c r="AG48" s="25"/>
    </row>
    <row r="49" spans="2:33">
      <c r="B49" s="25" t="s">
        <v>138</v>
      </c>
      <c r="C49" s="25"/>
      <c r="D49" s="72">
        <f>SUM(D36:J36)/P11</f>
        <v>-1.0833634747013822E-2</v>
      </c>
      <c r="E49" s="25"/>
      <c r="F49" s="56"/>
      <c r="G49" s="25"/>
      <c r="H49" s="25"/>
      <c r="I49" s="25"/>
      <c r="J49" s="25"/>
      <c r="K49" s="25"/>
      <c r="L49" s="25"/>
      <c r="M49" s="25"/>
      <c r="N49" s="25"/>
      <c r="O49" s="25"/>
      <c r="P49" s="57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</row>
    <row r="50" spans="2:33">
      <c r="B50" s="25"/>
      <c r="C50" s="25"/>
      <c r="D50" s="71"/>
      <c r="E50" s="25"/>
      <c r="F50" s="25"/>
      <c r="G50" s="25"/>
      <c r="H50" s="25"/>
      <c r="I50" s="25"/>
      <c r="J50" s="25"/>
      <c r="K50" s="25"/>
      <c r="L50" s="25"/>
      <c r="M50" s="25"/>
      <c r="N50" s="56"/>
      <c r="O50" s="25"/>
      <c r="P50" s="57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63"/>
      <c r="AB50" s="25"/>
      <c r="AC50" s="25"/>
      <c r="AD50" s="25"/>
      <c r="AE50" s="25"/>
      <c r="AF50" s="25"/>
      <c r="AG50" s="25"/>
    </row>
    <row r="51" spans="2:33">
      <c r="B51" s="25"/>
      <c r="C51" s="25"/>
      <c r="D51" s="63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25"/>
      <c r="P51" s="56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</row>
    <row r="52" spans="2:33">
      <c r="B52" s="243" t="s">
        <v>221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57"/>
      <c r="V52" s="25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25"/>
    </row>
    <row r="53" spans="2:33">
      <c r="C53" s="25"/>
      <c r="D53" s="72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57"/>
      <c r="V53" s="25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25"/>
    </row>
    <row r="54" spans="2:33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57"/>
      <c r="V54" s="25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25"/>
    </row>
    <row r="55" spans="2:33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57"/>
      <c r="V55" s="25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25"/>
    </row>
    <row r="56" spans="2:33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57"/>
      <c r="V56" s="25" t="s">
        <v>4</v>
      </c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25"/>
    </row>
    <row r="57" spans="2:33">
      <c r="B57" s="22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R57" s="25"/>
      <c r="S57" s="25"/>
      <c r="T57" s="25"/>
      <c r="U57" s="57"/>
      <c r="V57" s="25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25"/>
    </row>
    <row r="58" spans="2:33">
      <c r="B58" s="25"/>
      <c r="C58" s="25"/>
      <c r="D58" s="25"/>
      <c r="E58" s="25"/>
      <c r="F58" s="25"/>
      <c r="G58" s="25"/>
      <c r="H58" s="228"/>
      <c r="I58" s="25"/>
      <c r="J58" s="25"/>
      <c r="K58" s="25"/>
      <c r="L58" s="25"/>
      <c r="M58" s="25"/>
      <c r="N58" s="25"/>
      <c r="O58" s="25"/>
      <c r="P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</row>
    <row r="59" spans="2:33">
      <c r="B59" s="228"/>
      <c r="C59" s="228"/>
      <c r="D59" s="228"/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228"/>
      <c r="P59" s="228"/>
      <c r="R59" s="7"/>
      <c r="S59" s="7" t="s">
        <v>4</v>
      </c>
      <c r="T59" s="7" t="s">
        <v>91</v>
      </c>
      <c r="U59" s="7" t="s">
        <v>43</v>
      </c>
      <c r="V59" s="7" t="s">
        <v>44</v>
      </c>
      <c r="W59" s="7" t="s">
        <v>45</v>
      </c>
      <c r="X59" s="7" t="s">
        <v>46</v>
      </c>
      <c r="Y59" s="7" t="s">
        <v>47</v>
      </c>
      <c r="Z59" s="7" t="s">
        <v>48</v>
      </c>
      <c r="AA59" s="7" t="s">
        <v>49</v>
      </c>
      <c r="AB59" s="7" t="s">
        <v>50</v>
      </c>
      <c r="AC59" s="7" t="s">
        <v>51</v>
      </c>
      <c r="AD59" s="7" t="s">
        <v>52</v>
      </c>
      <c r="AE59" s="7"/>
      <c r="AF59" s="7"/>
    </row>
    <row r="60" spans="2:33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R60" s="102" t="s">
        <v>1</v>
      </c>
      <c r="S60" s="103"/>
    </row>
    <row r="61" spans="2:33">
      <c r="B61" s="25"/>
      <c r="C61" s="25"/>
      <c r="D61" s="229"/>
      <c r="E61" s="229"/>
      <c r="F61" s="229"/>
      <c r="G61" s="229"/>
      <c r="H61" s="229"/>
      <c r="I61" s="229"/>
      <c r="J61" s="229"/>
      <c r="K61" s="229"/>
      <c r="L61" s="229"/>
      <c r="M61" s="25"/>
      <c r="N61" s="25"/>
      <c r="O61" s="25"/>
      <c r="P61" s="229"/>
      <c r="S61" s="17" t="s">
        <v>89</v>
      </c>
      <c r="T61" s="17"/>
    </row>
    <row r="62" spans="2:33">
      <c r="B62" s="25"/>
      <c r="C62" s="25"/>
      <c r="D62" s="229"/>
      <c r="E62" s="229"/>
      <c r="F62" s="229"/>
      <c r="G62" s="229"/>
      <c r="H62" s="229"/>
      <c r="I62" s="229"/>
      <c r="J62" s="229"/>
      <c r="K62" s="229"/>
      <c r="L62" s="229"/>
      <c r="M62" s="25"/>
      <c r="N62" s="25"/>
      <c r="O62" s="25"/>
      <c r="P62" s="229"/>
      <c r="S62" s="91" t="s">
        <v>90</v>
      </c>
      <c r="T62" s="91"/>
      <c r="U62" s="33">
        <f t="shared" ref="U62:AD62" si="4">U68/(1-$D$8)</f>
        <v>43147208.121827409</v>
      </c>
      <c r="V62" s="33">
        <f t="shared" si="4"/>
        <v>64720812.18274112</v>
      </c>
      <c r="W62" s="33">
        <f t="shared" si="4"/>
        <v>107868020.30456853</v>
      </c>
      <c r="X62" s="33">
        <f t="shared" si="4"/>
        <v>172588832.48730963</v>
      </c>
      <c r="Y62" s="33">
        <f t="shared" si="4"/>
        <v>258883248.73096448</v>
      </c>
      <c r="Z62" s="33">
        <f t="shared" si="4"/>
        <v>345177664.97461927</v>
      </c>
      <c r="AA62" s="33">
        <f t="shared" si="4"/>
        <v>431472081.21827412</v>
      </c>
      <c r="AB62" s="33">
        <f t="shared" si="4"/>
        <v>560913705.58375633</v>
      </c>
      <c r="AC62" s="33">
        <f t="shared" si="4"/>
        <v>690355329.94923854</v>
      </c>
      <c r="AD62" s="33">
        <f t="shared" si="4"/>
        <v>862944162.43654823</v>
      </c>
      <c r="AF62" s="47">
        <f>SUM(U62:AD62)</f>
        <v>3538071065.9898481</v>
      </c>
    </row>
    <row r="63" spans="2:33">
      <c r="B63" s="25"/>
      <c r="C63" s="25"/>
      <c r="D63" s="109"/>
      <c r="E63" s="229"/>
      <c r="F63" s="109"/>
      <c r="G63" s="229"/>
      <c r="H63" s="109"/>
      <c r="I63" s="229"/>
      <c r="J63" s="109"/>
      <c r="K63" s="229"/>
      <c r="L63" s="109"/>
      <c r="M63" s="25"/>
      <c r="N63" s="25"/>
      <c r="O63" s="25"/>
      <c r="P63" s="229"/>
      <c r="S63" s="91" t="s">
        <v>88</v>
      </c>
      <c r="T63" s="91"/>
      <c r="U63" s="33">
        <f t="shared" ref="U63:AD63" si="5">U69/(1-$F$8)</f>
        <v>6345177.6649746196</v>
      </c>
      <c r="V63" s="33">
        <f t="shared" si="5"/>
        <v>9517766.4974619299</v>
      </c>
      <c r="W63" s="33">
        <f t="shared" si="5"/>
        <v>15862944.162436549</v>
      </c>
      <c r="X63" s="33">
        <f t="shared" si="5"/>
        <v>25380710.659898479</v>
      </c>
      <c r="Y63" s="33">
        <f t="shared" si="5"/>
        <v>38071065.98984772</v>
      </c>
      <c r="Z63" s="33">
        <f t="shared" si="5"/>
        <v>50761421.319796957</v>
      </c>
      <c r="AA63" s="33">
        <f t="shared" si="5"/>
        <v>63451776.649746194</v>
      </c>
      <c r="AB63" s="33">
        <f t="shared" si="5"/>
        <v>82487309.644670054</v>
      </c>
      <c r="AC63" s="33">
        <f t="shared" si="5"/>
        <v>101522842.63959391</v>
      </c>
      <c r="AD63" s="33">
        <f t="shared" si="5"/>
        <v>126903553.29949239</v>
      </c>
      <c r="AF63" s="47">
        <f>SUM(U63:AD63)</f>
        <v>520304568.52791882</v>
      </c>
    </row>
    <row r="64" spans="2:33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91" t="s">
        <v>87</v>
      </c>
      <c r="T64" s="91"/>
      <c r="U64" s="33">
        <f t="shared" ref="U64:AD64" si="6">U70/(1-$H$8)</f>
        <v>1344086.0215053763</v>
      </c>
      <c r="V64" s="33">
        <f t="shared" si="6"/>
        <v>2016129.0322580647</v>
      </c>
      <c r="W64" s="33">
        <f t="shared" si="6"/>
        <v>3360215.0537634413</v>
      </c>
      <c r="X64" s="33">
        <f t="shared" si="6"/>
        <v>5376344.0860215053</v>
      </c>
      <c r="Y64" s="33">
        <f t="shared" si="6"/>
        <v>8064516.1290322589</v>
      </c>
      <c r="Z64" s="33">
        <f t="shared" si="6"/>
        <v>10752688.172043011</v>
      </c>
      <c r="AA64" s="33">
        <f t="shared" si="6"/>
        <v>13440860.215053765</v>
      </c>
      <c r="AB64" s="33">
        <f t="shared" si="6"/>
        <v>17473118.279569894</v>
      </c>
      <c r="AC64" s="33">
        <f t="shared" si="6"/>
        <v>21505376.344086021</v>
      </c>
      <c r="AD64" s="33">
        <f t="shared" si="6"/>
        <v>26881720.43010753</v>
      </c>
      <c r="AF64" s="47">
        <f>SUM(U64:AD64)</f>
        <v>110215053.76344088</v>
      </c>
    </row>
    <row r="65" spans="2:33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56"/>
      <c r="O65" s="25"/>
      <c r="P65" s="229"/>
      <c r="S65" s="53" t="s">
        <v>28</v>
      </c>
      <c r="T65" s="53"/>
      <c r="U65" s="86">
        <f t="shared" ref="U65:AD65" si="7">SUM(U62:U64)</f>
        <v>50836471.808307409</v>
      </c>
      <c r="V65" s="86">
        <f t="shared" si="7"/>
        <v>76254707.712461114</v>
      </c>
      <c r="W65" s="86">
        <f t="shared" si="7"/>
        <v>127091179.52076851</v>
      </c>
      <c r="X65" s="86">
        <f t="shared" si="7"/>
        <v>203345887.23322964</v>
      </c>
      <c r="Y65" s="86">
        <f t="shared" si="7"/>
        <v>305018830.84984446</v>
      </c>
      <c r="Z65" s="86">
        <f t="shared" si="7"/>
        <v>406691774.46645927</v>
      </c>
      <c r="AA65" s="86">
        <f t="shared" si="7"/>
        <v>508364718.08307403</v>
      </c>
      <c r="AB65" s="86">
        <f t="shared" si="7"/>
        <v>660874133.5079962</v>
      </c>
      <c r="AC65" s="86">
        <f t="shared" si="7"/>
        <v>813383548.93291855</v>
      </c>
      <c r="AD65" s="86">
        <f t="shared" si="7"/>
        <v>1016729436.1661481</v>
      </c>
      <c r="AE65" s="48"/>
      <c r="AF65" s="49">
        <f>SUM(U65:AD65)</f>
        <v>4168590688.2812076</v>
      </c>
    </row>
    <row r="66" spans="2:33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</row>
    <row r="67" spans="2:33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S67" s="17" t="s">
        <v>20</v>
      </c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</row>
    <row r="68" spans="2:33">
      <c r="B68" s="25"/>
      <c r="C68" s="25"/>
      <c r="D68" s="230"/>
      <c r="E68" s="230"/>
      <c r="F68" s="230"/>
      <c r="G68" s="230"/>
      <c r="H68" s="230"/>
      <c r="I68" s="230"/>
      <c r="J68" s="230"/>
      <c r="K68" s="230"/>
      <c r="L68" s="230"/>
      <c r="M68" s="25"/>
      <c r="N68" s="230"/>
      <c r="O68" s="25"/>
      <c r="P68" s="111"/>
      <c r="S68" s="91" t="s">
        <v>90</v>
      </c>
      <c r="T68" s="91"/>
      <c r="U68" s="50">
        <f t="shared" ref="U68:AD68" si="8">($D$11/$P$11)*U71</f>
        <v>42500000</v>
      </c>
      <c r="V68" s="50">
        <f t="shared" si="8"/>
        <v>63750000</v>
      </c>
      <c r="W68" s="50">
        <f t="shared" si="8"/>
        <v>106250000</v>
      </c>
      <c r="X68" s="50">
        <f t="shared" si="8"/>
        <v>170000000</v>
      </c>
      <c r="Y68" s="50">
        <f t="shared" si="8"/>
        <v>255000000</v>
      </c>
      <c r="Z68" s="50">
        <f t="shared" si="8"/>
        <v>340000000</v>
      </c>
      <c r="AA68" s="50">
        <f t="shared" si="8"/>
        <v>425000000</v>
      </c>
      <c r="AB68" s="50">
        <f t="shared" si="8"/>
        <v>552500000</v>
      </c>
      <c r="AC68" s="50">
        <f t="shared" si="8"/>
        <v>680000000</v>
      </c>
      <c r="AD68" s="50">
        <f t="shared" si="8"/>
        <v>850000000</v>
      </c>
      <c r="AF68" s="47">
        <f>SUM(U68:AD68)</f>
        <v>3485000000</v>
      </c>
    </row>
    <row r="69" spans="2:33">
      <c r="B69" s="25"/>
      <c r="C69" s="25"/>
      <c r="D69" s="229"/>
      <c r="E69" s="229"/>
      <c r="F69" s="229"/>
      <c r="G69" s="229"/>
      <c r="H69" s="229"/>
      <c r="I69" s="229"/>
      <c r="J69" s="229"/>
      <c r="K69" s="229"/>
      <c r="L69" s="229"/>
      <c r="M69" s="25"/>
      <c r="N69" s="56"/>
      <c r="O69" s="25"/>
      <c r="P69" s="229"/>
      <c r="S69" s="91" t="s">
        <v>88</v>
      </c>
      <c r="T69" s="91"/>
      <c r="U69" s="50">
        <f t="shared" ref="U69:AD69" si="9">U71-U68-U70</f>
        <v>6250000</v>
      </c>
      <c r="V69" s="50">
        <f t="shared" si="9"/>
        <v>9375000</v>
      </c>
      <c r="W69" s="50">
        <f t="shared" si="9"/>
        <v>15625000</v>
      </c>
      <c r="X69" s="50">
        <f t="shared" si="9"/>
        <v>25000000</v>
      </c>
      <c r="Y69" s="50">
        <f t="shared" si="9"/>
        <v>37500000</v>
      </c>
      <c r="Z69" s="50">
        <f t="shared" si="9"/>
        <v>50000000</v>
      </c>
      <c r="AA69" s="50">
        <f t="shared" si="9"/>
        <v>62500000</v>
      </c>
      <c r="AB69" s="50">
        <f t="shared" si="9"/>
        <v>81250000</v>
      </c>
      <c r="AC69" s="50">
        <f t="shared" si="9"/>
        <v>100000000</v>
      </c>
      <c r="AD69" s="50">
        <f t="shared" si="9"/>
        <v>125000000</v>
      </c>
      <c r="AF69" s="47">
        <f>SUM(U69:AD69)</f>
        <v>512500000</v>
      </c>
    </row>
    <row r="70" spans="2:33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S70" s="91" t="s">
        <v>87</v>
      </c>
      <c r="T70" s="91"/>
      <c r="U70" s="60">
        <f t="shared" ref="U70:AD70" si="10">($H$11/$P$11)*U71</f>
        <v>1250000</v>
      </c>
      <c r="V70" s="60">
        <f t="shared" si="10"/>
        <v>1875000</v>
      </c>
      <c r="W70" s="60">
        <f t="shared" si="10"/>
        <v>3125000</v>
      </c>
      <c r="X70" s="60">
        <f t="shared" si="10"/>
        <v>5000000</v>
      </c>
      <c r="Y70" s="60">
        <f t="shared" si="10"/>
        <v>7500000</v>
      </c>
      <c r="Z70" s="60">
        <f t="shared" si="10"/>
        <v>10000000</v>
      </c>
      <c r="AA70" s="60">
        <f t="shared" si="10"/>
        <v>12500000</v>
      </c>
      <c r="AB70" s="60">
        <f t="shared" si="10"/>
        <v>16250000</v>
      </c>
      <c r="AC70" s="60">
        <f t="shared" si="10"/>
        <v>20000000</v>
      </c>
      <c r="AD70" s="60">
        <f t="shared" si="10"/>
        <v>25000000</v>
      </c>
      <c r="AF70" s="47">
        <f>SUM(U70:AD70)</f>
        <v>102500000</v>
      </c>
    </row>
    <row r="71" spans="2:33">
      <c r="B71" s="25"/>
      <c r="C71" s="25"/>
      <c r="D71" s="230"/>
      <c r="E71" s="25"/>
      <c r="F71" s="230"/>
      <c r="G71" s="25"/>
      <c r="H71" s="230"/>
      <c r="I71" s="25"/>
      <c r="J71" s="230"/>
      <c r="K71" s="25"/>
      <c r="L71" s="230"/>
      <c r="M71" s="25"/>
      <c r="N71" s="25"/>
      <c r="O71" s="25"/>
      <c r="P71" s="111"/>
      <c r="S71" s="53" t="s">
        <v>86</v>
      </c>
      <c r="T71" s="53"/>
      <c r="U71" s="86">
        <v>50000000</v>
      </c>
      <c r="V71" s="86">
        <v>75000000</v>
      </c>
      <c r="W71" s="86">
        <v>125000000</v>
      </c>
      <c r="X71" s="86">
        <v>200000000</v>
      </c>
      <c r="Y71" s="86">
        <v>300000000</v>
      </c>
      <c r="Z71" s="86">
        <v>400000000</v>
      </c>
      <c r="AA71" s="86">
        <v>500000000</v>
      </c>
      <c r="AB71" s="86">
        <v>650000000</v>
      </c>
      <c r="AC71" s="86">
        <v>800000000</v>
      </c>
      <c r="AD71" s="86">
        <v>1000000000</v>
      </c>
      <c r="AE71" s="48"/>
      <c r="AF71" s="49">
        <f>SUM(U71:AD71)</f>
        <v>4100000000</v>
      </c>
    </row>
    <row r="72" spans="2:33">
      <c r="B72" s="25"/>
      <c r="C72" s="25"/>
      <c r="D72" s="56"/>
      <c r="E72" s="229"/>
      <c r="F72" s="56"/>
      <c r="G72" s="229"/>
      <c r="H72" s="56"/>
      <c r="I72" s="229"/>
      <c r="J72" s="56"/>
      <c r="K72" s="229"/>
      <c r="L72" s="56"/>
      <c r="M72" s="25"/>
      <c r="N72" s="25"/>
      <c r="O72" s="25"/>
      <c r="P72" s="56"/>
      <c r="S72" s="51"/>
      <c r="T72" s="51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3"/>
      <c r="AF72" s="87"/>
    </row>
    <row r="73" spans="2:33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57"/>
      <c r="S73" t="s">
        <v>70</v>
      </c>
      <c r="U73" s="92">
        <f t="shared" ref="U73:AD73" si="11">U71*$U$9</f>
        <v>5000000</v>
      </c>
      <c r="V73" s="92">
        <f t="shared" si="11"/>
        <v>7500000</v>
      </c>
      <c r="W73" s="92">
        <f t="shared" si="11"/>
        <v>12500000</v>
      </c>
      <c r="X73" s="92">
        <f t="shared" si="11"/>
        <v>20000000</v>
      </c>
      <c r="Y73" s="92">
        <f t="shared" si="11"/>
        <v>30000000</v>
      </c>
      <c r="Z73" s="92">
        <f t="shared" si="11"/>
        <v>40000000</v>
      </c>
      <c r="AA73" s="92">
        <f t="shared" si="11"/>
        <v>50000000</v>
      </c>
      <c r="AB73" s="92">
        <f t="shared" si="11"/>
        <v>65000000</v>
      </c>
      <c r="AC73" s="92">
        <f t="shared" si="11"/>
        <v>80000000</v>
      </c>
      <c r="AD73" s="92">
        <f t="shared" si="11"/>
        <v>100000000</v>
      </c>
      <c r="AE73" s="3"/>
      <c r="AF73" s="3"/>
      <c r="AG73" s="3"/>
    </row>
    <row r="74" spans="2:33">
      <c r="B74" s="25"/>
      <c r="C74" s="25"/>
      <c r="D74" s="230"/>
      <c r="E74" s="230"/>
      <c r="F74" s="230"/>
      <c r="G74" s="230"/>
      <c r="H74" s="230"/>
      <c r="I74" s="230"/>
      <c r="J74" s="230"/>
      <c r="K74" s="230"/>
      <c r="L74" s="230"/>
      <c r="M74" s="25"/>
      <c r="N74" s="25"/>
      <c r="O74" s="25"/>
      <c r="P74" s="111"/>
      <c r="S74" s="3"/>
      <c r="T74" s="3"/>
      <c r="U74" s="3"/>
      <c r="V74" s="3"/>
      <c r="W74" s="65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2:33" ht="16.5" thickBot="1">
      <c r="B75" s="25"/>
      <c r="C75" s="25"/>
      <c r="D75" s="56"/>
      <c r="E75" s="229"/>
      <c r="F75" s="56"/>
      <c r="G75" s="229"/>
      <c r="H75" s="56"/>
      <c r="I75" s="229"/>
      <c r="J75" s="56"/>
      <c r="K75" s="229"/>
      <c r="L75" s="56"/>
      <c r="M75" s="25"/>
      <c r="N75" s="25"/>
      <c r="O75" s="25"/>
      <c r="P75" s="56"/>
      <c r="S75" s="93" t="s">
        <v>21</v>
      </c>
      <c r="T75" s="93"/>
      <c r="U75" s="94">
        <f>U71+U73</f>
        <v>55000000</v>
      </c>
      <c r="V75" s="94">
        <f t="shared" ref="V75:AD75" si="12">V71+V73</f>
        <v>82500000</v>
      </c>
      <c r="W75" s="94">
        <f t="shared" si="12"/>
        <v>137500000</v>
      </c>
      <c r="X75" s="94">
        <f t="shared" si="12"/>
        <v>220000000</v>
      </c>
      <c r="Y75" s="94">
        <f t="shared" si="12"/>
        <v>330000000</v>
      </c>
      <c r="Z75" s="94">
        <f t="shared" si="12"/>
        <v>440000000</v>
      </c>
      <c r="AA75" s="94">
        <f t="shared" si="12"/>
        <v>550000000</v>
      </c>
      <c r="AB75" s="94">
        <f t="shared" si="12"/>
        <v>715000000</v>
      </c>
      <c r="AC75" s="94">
        <f t="shared" si="12"/>
        <v>880000000</v>
      </c>
      <c r="AD75" s="94">
        <f t="shared" si="12"/>
        <v>1100000000</v>
      </c>
      <c r="AE75" s="93"/>
      <c r="AF75" s="93"/>
      <c r="AG75" s="3"/>
    </row>
    <row r="76" spans="2:33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AG76" s="3"/>
    </row>
    <row r="77" spans="2:33">
      <c r="B77" s="25"/>
      <c r="C77" s="25"/>
      <c r="D77" s="230"/>
      <c r="E77" s="25"/>
      <c r="F77" s="230"/>
      <c r="G77" s="25"/>
      <c r="H77" s="230"/>
      <c r="I77" s="25"/>
      <c r="J77" s="230"/>
      <c r="K77" s="25"/>
      <c r="L77" s="230"/>
      <c r="M77" s="25"/>
      <c r="N77" s="25"/>
      <c r="O77" s="25"/>
      <c r="P77" s="111"/>
      <c r="S77" s="54" t="s">
        <v>6</v>
      </c>
      <c r="T77" s="3"/>
      <c r="U77" s="26">
        <v>0.2</v>
      </c>
      <c r="V77" s="26">
        <v>0.2</v>
      </c>
      <c r="W77" s="26">
        <v>0.2</v>
      </c>
      <c r="X77" s="26">
        <v>0.2</v>
      </c>
      <c r="Y77" s="26">
        <v>0.2</v>
      </c>
      <c r="Z77" s="26">
        <v>0.2</v>
      </c>
      <c r="AA77" s="26">
        <v>0.17</v>
      </c>
      <c r="AB77" s="26">
        <v>0.17</v>
      </c>
      <c r="AC77" s="26">
        <v>0.15</v>
      </c>
      <c r="AD77" s="26">
        <v>0.15</v>
      </c>
      <c r="AE77" s="3"/>
      <c r="AF77" s="87"/>
      <c r="AG77" s="3"/>
    </row>
    <row r="78" spans="2:33">
      <c r="B78" s="55"/>
      <c r="C78" s="55"/>
      <c r="D78" s="231"/>
      <c r="E78" s="55"/>
      <c r="F78" s="231"/>
      <c r="G78" s="55"/>
      <c r="H78" s="232"/>
      <c r="I78" s="55"/>
      <c r="J78" s="231"/>
      <c r="K78" s="55"/>
      <c r="L78" s="231"/>
      <c r="M78" s="55"/>
      <c r="N78" s="232"/>
      <c r="O78" s="55"/>
      <c r="P78" s="233"/>
      <c r="S78" s="89" t="s">
        <v>101</v>
      </c>
      <c r="T78" s="89"/>
      <c r="U78" s="87">
        <f>U75*U77</f>
        <v>11000000</v>
      </c>
      <c r="V78" s="87">
        <f t="shared" ref="V78:AD78" si="13">V75*V77</f>
        <v>16500000</v>
      </c>
      <c r="W78" s="87">
        <f t="shared" si="13"/>
        <v>27500000</v>
      </c>
      <c r="X78" s="87">
        <f t="shared" si="13"/>
        <v>44000000</v>
      </c>
      <c r="Y78" s="87">
        <f t="shared" si="13"/>
        <v>66000000</v>
      </c>
      <c r="Z78" s="87">
        <f t="shared" si="13"/>
        <v>88000000</v>
      </c>
      <c r="AA78" s="87">
        <f t="shared" si="13"/>
        <v>93500000</v>
      </c>
      <c r="AB78" s="87">
        <f t="shared" si="13"/>
        <v>121550000.00000001</v>
      </c>
      <c r="AC78" s="87">
        <f t="shared" si="13"/>
        <v>132000000</v>
      </c>
      <c r="AD78" s="87">
        <f t="shared" si="13"/>
        <v>165000000</v>
      </c>
      <c r="AE78" s="3"/>
      <c r="AF78" s="87"/>
      <c r="AG78" s="3"/>
    </row>
    <row r="79" spans="2:33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AG79" s="3"/>
    </row>
    <row r="80" spans="2:33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56"/>
      <c r="S80" t="s">
        <v>102</v>
      </c>
      <c r="U80" s="36">
        <f>U75-U78</f>
        <v>44000000</v>
      </c>
      <c r="V80" s="36">
        <f t="shared" ref="V80:AD80" si="14">V75-V78</f>
        <v>66000000</v>
      </c>
      <c r="W80" s="36">
        <f t="shared" si="14"/>
        <v>110000000</v>
      </c>
      <c r="X80" s="36">
        <f t="shared" si="14"/>
        <v>176000000</v>
      </c>
      <c r="Y80" s="36">
        <f t="shared" si="14"/>
        <v>264000000</v>
      </c>
      <c r="Z80" s="36">
        <f t="shared" si="14"/>
        <v>352000000</v>
      </c>
      <c r="AA80" s="36">
        <f t="shared" si="14"/>
        <v>456500000</v>
      </c>
      <c r="AB80" s="36">
        <f t="shared" si="14"/>
        <v>593450000</v>
      </c>
      <c r="AC80" s="36">
        <f t="shared" si="14"/>
        <v>748000000</v>
      </c>
      <c r="AD80" s="36">
        <f t="shared" si="14"/>
        <v>935000000</v>
      </c>
      <c r="AG80" s="3"/>
    </row>
    <row r="81" spans="2:33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S81" t="s">
        <v>74</v>
      </c>
      <c r="U81" s="19">
        <f>U80/U65</f>
        <v>0.86552033284122931</v>
      </c>
      <c r="V81" s="19">
        <f t="shared" ref="V81:AD81" si="15">V80/V65</f>
        <v>0.86552033284122931</v>
      </c>
      <c r="W81" s="19">
        <f t="shared" si="15"/>
        <v>0.86552033284122942</v>
      </c>
      <c r="X81" s="19">
        <f t="shared" si="15"/>
        <v>0.86552033284122931</v>
      </c>
      <c r="Y81" s="19">
        <f t="shared" si="15"/>
        <v>0.86552033284122931</v>
      </c>
      <c r="Z81" s="19">
        <f t="shared" si="15"/>
        <v>0.86552033284122931</v>
      </c>
      <c r="AA81" s="19">
        <f t="shared" si="15"/>
        <v>0.89797734532277551</v>
      </c>
      <c r="AB81" s="19">
        <f t="shared" si="15"/>
        <v>0.89797734532277562</v>
      </c>
      <c r="AC81" s="19">
        <f t="shared" si="15"/>
        <v>0.9196153536438062</v>
      </c>
      <c r="AD81" s="19">
        <f t="shared" si="15"/>
        <v>0.91961535364380631</v>
      </c>
      <c r="AG81" s="3"/>
    </row>
    <row r="82" spans="2:33"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233"/>
      <c r="AG82" s="3"/>
    </row>
    <row r="83" spans="2:33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R83" s="102" t="s">
        <v>0</v>
      </c>
      <c r="S83" s="103"/>
      <c r="AG83" s="3"/>
    </row>
    <row r="84" spans="2:33">
      <c r="B84" s="40"/>
      <c r="C84" s="40"/>
      <c r="D84" s="163"/>
      <c r="E84" s="40"/>
      <c r="F84" s="163"/>
      <c r="G84" s="40"/>
      <c r="H84" s="40"/>
      <c r="I84" s="40"/>
      <c r="J84" s="163"/>
      <c r="K84" s="40"/>
      <c r="L84" s="163"/>
      <c r="M84" s="40"/>
      <c r="N84" s="40"/>
      <c r="O84" s="40"/>
      <c r="P84" s="163"/>
      <c r="S84" s="3" t="s">
        <v>10</v>
      </c>
      <c r="T84" s="3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3"/>
      <c r="AF84" s="87"/>
      <c r="AG84" s="3"/>
    </row>
    <row r="85" spans="2:33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S85" s="95" t="s">
        <v>90</v>
      </c>
      <c r="T85" s="95"/>
      <c r="U85" s="65">
        <f t="shared" ref="U85:AD85" si="16">U68*$D$18</f>
        <v>2125000</v>
      </c>
      <c r="V85" s="65">
        <f t="shared" si="16"/>
        <v>3187500</v>
      </c>
      <c r="W85" s="65">
        <f t="shared" si="16"/>
        <v>5312500</v>
      </c>
      <c r="X85" s="65">
        <f t="shared" si="16"/>
        <v>8500000</v>
      </c>
      <c r="Y85" s="65">
        <f t="shared" si="16"/>
        <v>12750000</v>
      </c>
      <c r="Z85" s="65">
        <f t="shared" si="16"/>
        <v>17000000</v>
      </c>
      <c r="AA85" s="65">
        <f t="shared" si="16"/>
        <v>21250000</v>
      </c>
      <c r="AB85" s="65">
        <f t="shared" si="16"/>
        <v>27625000</v>
      </c>
      <c r="AC85" s="65">
        <f t="shared" si="16"/>
        <v>34000000</v>
      </c>
      <c r="AD85" s="65">
        <f t="shared" si="16"/>
        <v>42500000</v>
      </c>
      <c r="AE85" s="3"/>
      <c r="AF85" s="87"/>
      <c r="AG85" s="3"/>
    </row>
    <row r="86" spans="2:33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S86" s="95" t="s">
        <v>88</v>
      </c>
      <c r="T86" s="95"/>
      <c r="U86" s="65">
        <f t="shared" ref="U86:AD86" si="17">U69*$F$18</f>
        <v>156250</v>
      </c>
      <c r="V86" s="65">
        <f t="shared" si="17"/>
        <v>234375</v>
      </c>
      <c r="W86" s="65">
        <f t="shared" si="17"/>
        <v>390625</v>
      </c>
      <c r="X86" s="65">
        <f t="shared" si="17"/>
        <v>625000</v>
      </c>
      <c r="Y86" s="65">
        <f t="shared" si="17"/>
        <v>937500</v>
      </c>
      <c r="Z86" s="65">
        <f t="shared" si="17"/>
        <v>1250000</v>
      </c>
      <c r="AA86" s="65">
        <f t="shared" si="17"/>
        <v>1562500</v>
      </c>
      <c r="AB86" s="65">
        <f t="shared" si="17"/>
        <v>2031250</v>
      </c>
      <c r="AC86" s="65">
        <f t="shared" si="17"/>
        <v>2500000</v>
      </c>
      <c r="AD86" s="65">
        <f t="shared" si="17"/>
        <v>3125000</v>
      </c>
      <c r="AE86" s="3"/>
      <c r="AF86" s="87"/>
      <c r="AG86" s="3"/>
    </row>
    <row r="87" spans="2:33">
      <c r="S87" s="95" t="s">
        <v>87</v>
      </c>
      <c r="T87" s="95"/>
      <c r="U87" s="65">
        <f t="shared" ref="U87:AD87" si="18">U70*$H$18</f>
        <v>187500</v>
      </c>
      <c r="V87" s="65">
        <f t="shared" si="18"/>
        <v>281250</v>
      </c>
      <c r="W87" s="65">
        <f t="shared" si="18"/>
        <v>468750</v>
      </c>
      <c r="X87" s="65">
        <f t="shared" si="18"/>
        <v>750000</v>
      </c>
      <c r="Y87" s="65">
        <f t="shared" si="18"/>
        <v>1125000</v>
      </c>
      <c r="Z87" s="65">
        <f t="shared" si="18"/>
        <v>1500000</v>
      </c>
      <c r="AA87" s="65">
        <f t="shared" si="18"/>
        <v>1875000</v>
      </c>
      <c r="AB87" s="65">
        <f t="shared" si="18"/>
        <v>2437500</v>
      </c>
      <c r="AC87" s="65">
        <f t="shared" si="18"/>
        <v>3000000</v>
      </c>
      <c r="AD87" s="65">
        <f t="shared" si="18"/>
        <v>3750000</v>
      </c>
      <c r="AE87" s="3"/>
      <c r="AF87" s="87"/>
      <c r="AG87" s="3"/>
    </row>
    <row r="88" spans="2:33">
      <c r="B88" t="s">
        <v>54</v>
      </c>
      <c r="S88" s="95" t="s">
        <v>41</v>
      </c>
      <c r="T88" s="95"/>
      <c r="U88" s="65">
        <f t="shared" ref="U88:AD88" si="19">U73*$T$21</f>
        <v>126249.99999999999</v>
      </c>
      <c r="V88" s="65">
        <f t="shared" si="19"/>
        <v>189375</v>
      </c>
      <c r="W88" s="65">
        <f t="shared" si="19"/>
        <v>315625</v>
      </c>
      <c r="X88" s="65">
        <f t="shared" si="19"/>
        <v>504999.99999999994</v>
      </c>
      <c r="Y88" s="65">
        <f t="shared" si="19"/>
        <v>757500</v>
      </c>
      <c r="Z88" s="65">
        <f t="shared" si="19"/>
        <v>1009999.9999999999</v>
      </c>
      <c r="AA88" s="65">
        <f t="shared" si="19"/>
        <v>1262500</v>
      </c>
      <c r="AB88" s="65">
        <f t="shared" si="19"/>
        <v>1641249.9999999998</v>
      </c>
      <c r="AC88" s="65">
        <f t="shared" si="19"/>
        <v>2019999.9999999998</v>
      </c>
      <c r="AD88" s="65">
        <f t="shared" si="19"/>
        <v>2525000</v>
      </c>
      <c r="AE88" s="3"/>
      <c r="AF88" s="3"/>
      <c r="AG88" s="3"/>
    </row>
    <row r="89" spans="2:33">
      <c r="B89" t="s">
        <v>55</v>
      </c>
      <c r="R89" s="25"/>
      <c r="S89" s="96" t="s">
        <v>92</v>
      </c>
      <c r="T89" s="96"/>
      <c r="U89" s="97">
        <f>SUM(U85:U88)</f>
        <v>2595000</v>
      </c>
      <c r="V89" s="97">
        <f t="shared" ref="V89:AD89" si="20">SUM(V85:V88)</f>
        <v>3892500</v>
      </c>
      <c r="W89" s="97">
        <f t="shared" si="20"/>
        <v>6487500</v>
      </c>
      <c r="X89" s="97">
        <f t="shared" si="20"/>
        <v>10380000</v>
      </c>
      <c r="Y89" s="97">
        <f t="shared" si="20"/>
        <v>15570000</v>
      </c>
      <c r="Z89" s="97">
        <f t="shared" si="20"/>
        <v>20760000</v>
      </c>
      <c r="AA89" s="97">
        <f t="shared" si="20"/>
        <v>25950000</v>
      </c>
      <c r="AB89" s="97">
        <f t="shared" si="20"/>
        <v>33735000</v>
      </c>
      <c r="AC89" s="97">
        <f t="shared" si="20"/>
        <v>41520000</v>
      </c>
      <c r="AD89" s="97">
        <f t="shared" si="20"/>
        <v>51900000</v>
      </c>
      <c r="AE89" s="48"/>
      <c r="AF89" s="48"/>
    </row>
    <row r="90" spans="2:33">
      <c r="R90" s="25"/>
      <c r="S90" s="3"/>
      <c r="T90" s="3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3"/>
      <c r="AF90" s="3"/>
    </row>
    <row r="91" spans="2:33" ht="16.5" thickBot="1">
      <c r="S91" s="3" t="s">
        <v>93</v>
      </c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2:33">
      <c r="B92" s="122" t="s">
        <v>150</v>
      </c>
      <c r="C92" s="123"/>
      <c r="D92" s="123"/>
      <c r="E92" s="123"/>
      <c r="F92" s="123"/>
      <c r="G92" s="123"/>
      <c r="H92" s="123"/>
      <c r="I92" s="123"/>
      <c r="J92" s="124"/>
      <c r="S92" s="95" t="s">
        <v>90</v>
      </c>
      <c r="T92" s="95"/>
      <c r="U92" s="87">
        <f t="shared" ref="U92:AD92" si="21">-U62*U$81*$T$20</f>
        <v>-746895.71869547712</v>
      </c>
      <c r="V92" s="87">
        <f t="shared" si="21"/>
        <v>-1120343.5780432157</v>
      </c>
      <c r="W92" s="87">
        <f t="shared" si="21"/>
        <v>-1867239.2967386928</v>
      </c>
      <c r="X92" s="87">
        <f t="shared" si="21"/>
        <v>-2987582.8747819085</v>
      </c>
      <c r="Y92" s="87">
        <f t="shared" si="21"/>
        <v>-4481374.3121728627</v>
      </c>
      <c r="Z92" s="87">
        <f t="shared" si="21"/>
        <v>-5975165.7495638169</v>
      </c>
      <c r="AA92" s="87">
        <f t="shared" si="21"/>
        <v>-7749043.0814655758</v>
      </c>
      <c r="AB92" s="87">
        <f t="shared" si="21"/>
        <v>-10073756.00590525</v>
      </c>
      <c r="AC92" s="87">
        <f t="shared" si="21"/>
        <v>-12697227.217823111</v>
      </c>
      <c r="AD92" s="87">
        <f t="shared" si="21"/>
        <v>-15871534.02227889</v>
      </c>
      <c r="AE92" s="25"/>
      <c r="AF92" s="25"/>
    </row>
    <row r="93" spans="2:33">
      <c r="B93" s="125" t="s">
        <v>122</v>
      </c>
      <c r="C93" s="126"/>
      <c r="D93" s="126" t="s">
        <v>125</v>
      </c>
      <c r="E93" s="126"/>
      <c r="F93" s="126" t="s">
        <v>123</v>
      </c>
      <c r="G93" s="126"/>
      <c r="H93" s="126" t="s">
        <v>126</v>
      </c>
      <c r="I93" s="126"/>
      <c r="J93" s="127"/>
      <c r="S93" s="95" t="s">
        <v>88</v>
      </c>
      <c r="T93" s="95"/>
      <c r="U93" s="87">
        <f t="shared" ref="U93:AD93" si="22">-U63*U$81*$T$20</f>
        <v>-109837.60569051134</v>
      </c>
      <c r="V93" s="87">
        <f t="shared" si="22"/>
        <v>-164756.40853576703</v>
      </c>
      <c r="W93" s="87">
        <f t="shared" si="22"/>
        <v>-274594.01422627835</v>
      </c>
      <c r="X93" s="87">
        <f t="shared" si="22"/>
        <v>-439350.42276204535</v>
      </c>
      <c r="Y93" s="87">
        <f t="shared" si="22"/>
        <v>-659025.63414306811</v>
      </c>
      <c r="Z93" s="87">
        <f t="shared" si="22"/>
        <v>-878700.84552409069</v>
      </c>
      <c r="AA93" s="87">
        <f t="shared" si="22"/>
        <v>-1139565.1590390552</v>
      </c>
      <c r="AB93" s="87">
        <f t="shared" si="22"/>
        <v>-1481434.706750772</v>
      </c>
      <c r="AC93" s="87">
        <f t="shared" si="22"/>
        <v>-1867239.2967386928</v>
      </c>
      <c r="AD93" s="87">
        <f t="shared" si="22"/>
        <v>-2334049.1209233664</v>
      </c>
      <c r="AE93" s="3"/>
      <c r="AF93" s="3"/>
    </row>
    <row r="94" spans="2:33">
      <c r="B94" s="128">
        <f>'Model-2-High'!B94</f>
        <v>0</v>
      </c>
      <c r="C94" s="126"/>
      <c r="D94" s="129">
        <f>B94*$P$39</f>
        <v>0</v>
      </c>
      <c r="E94" s="126"/>
      <c r="F94" s="130">
        <f>$N$40</f>
        <v>-3000000</v>
      </c>
      <c r="G94" s="126"/>
      <c r="H94" s="129">
        <f>D94+F94</f>
        <v>-3000000</v>
      </c>
      <c r="I94" s="126"/>
      <c r="J94" s="127"/>
      <c r="S94" s="95" t="s">
        <v>87</v>
      </c>
      <c r="T94" s="95"/>
      <c r="U94" s="87">
        <f t="shared" ref="U94:AD94" si="23">-U64*U$81*$T$20</f>
        <v>-23266.675614011539</v>
      </c>
      <c r="V94" s="87">
        <f t="shared" si="23"/>
        <v>-34900.013421017313</v>
      </c>
      <c r="W94" s="87">
        <f t="shared" si="23"/>
        <v>-58166.68903502886</v>
      </c>
      <c r="X94" s="87">
        <f t="shared" si="23"/>
        <v>-93066.702456046158</v>
      </c>
      <c r="Y94" s="87">
        <f t="shared" si="23"/>
        <v>-139600.05368406925</v>
      </c>
      <c r="Z94" s="87">
        <f t="shared" si="23"/>
        <v>-186133.40491209232</v>
      </c>
      <c r="AA94" s="87">
        <f t="shared" si="23"/>
        <v>-241391.7594953698</v>
      </c>
      <c r="AB94" s="87">
        <f t="shared" si="23"/>
        <v>-313809.28734398074</v>
      </c>
      <c r="AC94" s="87">
        <f t="shared" si="23"/>
        <v>-395533.48543819622</v>
      </c>
      <c r="AD94" s="87">
        <f t="shared" si="23"/>
        <v>-494416.85679774539</v>
      </c>
      <c r="AE94" s="25"/>
      <c r="AF94" s="3"/>
    </row>
    <row r="95" spans="2:33">
      <c r="B95" s="128">
        <f>B$94*2</f>
        <v>0</v>
      </c>
      <c r="C95" s="126"/>
      <c r="D95" s="129">
        <f t="shared" ref="D95:D100" si="24">B95*$P$39</f>
        <v>0</v>
      </c>
      <c r="E95" s="126"/>
      <c r="F95" s="130">
        <f t="shared" ref="F95:F100" si="25">$N$40</f>
        <v>-3000000</v>
      </c>
      <c r="G95" s="126"/>
      <c r="H95" s="129">
        <f t="shared" ref="H95:H100" si="26">D95+F95</f>
        <v>-3000000</v>
      </c>
      <c r="I95" s="126"/>
      <c r="J95" s="127"/>
      <c r="S95" s="96" t="s">
        <v>94</v>
      </c>
      <c r="T95" s="96"/>
      <c r="U95" s="70">
        <f>SUM(U92:U94)</f>
        <v>-880000</v>
      </c>
      <c r="V95" s="70">
        <f t="shared" ref="V95:AD95" si="27">SUM(V92:V94)</f>
        <v>-1320000</v>
      </c>
      <c r="W95" s="70">
        <f t="shared" si="27"/>
        <v>-2200000</v>
      </c>
      <c r="X95" s="70">
        <f t="shared" si="27"/>
        <v>-3520000</v>
      </c>
      <c r="Y95" s="70">
        <f t="shared" si="27"/>
        <v>-5280000</v>
      </c>
      <c r="Z95" s="70">
        <f t="shared" si="27"/>
        <v>-7040000</v>
      </c>
      <c r="AA95" s="70">
        <f t="shared" si="27"/>
        <v>-9130000.0000000019</v>
      </c>
      <c r="AB95" s="70">
        <f t="shared" si="27"/>
        <v>-11869000.000000002</v>
      </c>
      <c r="AC95" s="70">
        <f t="shared" si="27"/>
        <v>-14960000</v>
      </c>
      <c r="AD95" s="70">
        <f t="shared" si="27"/>
        <v>-18700000</v>
      </c>
      <c r="AE95" s="48"/>
      <c r="AF95" s="48"/>
    </row>
    <row r="96" spans="2:33">
      <c r="B96" s="128">
        <f>B$94*3</f>
        <v>0</v>
      </c>
      <c r="C96" s="126"/>
      <c r="D96" s="129">
        <f t="shared" si="24"/>
        <v>0</v>
      </c>
      <c r="E96" s="126"/>
      <c r="F96" s="130">
        <f t="shared" si="25"/>
        <v>-3000000</v>
      </c>
      <c r="G96" s="126"/>
      <c r="H96" s="129">
        <f t="shared" si="26"/>
        <v>-3000000</v>
      </c>
      <c r="I96" s="126"/>
      <c r="J96" s="127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</row>
    <row r="97" spans="2:32">
      <c r="B97" s="128">
        <f>B$94*4</f>
        <v>0</v>
      </c>
      <c r="C97" s="126"/>
      <c r="D97" s="129">
        <f t="shared" si="24"/>
        <v>0</v>
      </c>
      <c r="E97" s="126"/>
      <c r="F97" s="130">
        <f t="shared" si="25"/>
        <v>-3000000</v>
      </c>
      <c r="G97" s="126"/>
      <c r="H97" s="129">
        <f t="shared" si="26"/>
        <v>-3000000</v>
      </c>
      <c r="I97" s="126"/>
      <c r="J97" s="127"/>
      <c r="S97" s="3" t="s">
        <v>24</v>
      </c>
      <c r="T97" s="3"/>
    </row>
    <row r="98" spans="2:32">
      <c r="B98" s="128">
        <f>B$94*5</f>
        <v>0</v>
      </c>
      <c r="C98" s="126"/>
      <c r="D98" s="129">
        <f t="shared" si="24"/>
        <v>0</v>
      </c>
      <c r="E98" s="126"/>
      <c r="F98" s="130">
        <f t="shared" si="25"/>
        <v>-3000000</v>
      </c>
      <c r="G98" s="126"/>
      <c r="H98" s="129">
        <f t="shared" si="26"/>
        <v>-3000000</v>
      </c>
      <c r="I98" s="126"/>
      <c r="J98" s="127"/>
      <c r="S98" s="95" t="s">
        <v>90</v>
      </c>
      <c r="T98" s="95"/>
      <c r="U98" s="33">
        <f t="shared" ref="U98:AD98" si="28">-U68*$D$25</f>
        <v>-850000</v>
      </c>
      <c r="V98" s="33">
        <f t="shared" si="28"/>
        <v>-1275000</v>
      </c>
      <c r="W98" s="33">
        <f t="shared" si="28"/>
        <v>-2125000</v>
      </c>
      <c r="X98" s="33">
        <f t="shared" si="28"/>
        <v>-3400000</v>
      </c>
      <c r="Y98" s="33">
        <f t="shared" si="28"/>
        <v>-5100000</v>
      </c>
      <c r="Z98" s="33">
        <f t="shared" si="28"/>
        <v>-6800000</v>
      </c>
      <c r="AA98" s="33">
        <f t="shared" si="28"/>
        <v>-8500000</v>
      </c>
      <c r="AB98" s="33">
        <f t="shared" si="28"/>
        <v>-11050000</v>
      </c>
      <c r="AC98" s="33">
        <f t="shared" si="28"/>
        <v>-13600000</v>
      </c>
      <c r="AD98" s="33">
        <f t="shared" si="28"/>
        <v>-17000000</v>
      </c>
    </row>
    <row r="99" spans="2:32">
      <c r="B99" s="128">
        <f>B$94*6</f>
        <v>0</v>
      </c>
      <c r="C99" s="126"/>
      <c r="D99" s="129">
        <f t="shared" si="24"/>
        <v>0</v>
      </c>
      <c r="E99" s="126"/>
      <c r="F99" s="130">
        <f t="shared" si="25"/>
        <v>-3000000</v>
      </c>
      <c r="G99" s="126"/>
      <c r="H99" s="129">
        <f t="shared" si="26"/>
        <v>-3000000</v>
      </c>
      <c r="I99" s="126"/>
      <c r="J99" s="127"/>
      <c r="S99" s="95" t="s">
        <v>88</v>
      </c>
      <c r="T99" s="95"/>
      <c r="U99" s="33">
        <f t="shared" ref="U99:AD99" si="29">-U69*$F$25</f>
        <v>-62500</v>
      </c>
      <c r="V99" s="33">
        <f t="shared" si="29"/>
        <v>-93750</v>
      </c>
      <c r="W99" s="33">
        <f t="shared" si="29"/>
        <v>-156250</v>
      </c>
      <c r="X99" s="33">
        <f t="shared" si="29"/>
        <v>-250000</v>
      </c>
      <c r="Y99" s="33">
        <f t="shared" si="29"/>
        <v>-375000</v>
      </c>
      <c r="Z99" s="33">
        <f t="shared" si="29"/>
        <v>-500000</v>
      </c>
      <c r="AA99" s="33">
        <f t="shared" si="29"/>
        <v>-625000</v>
      </c>
      <c r="AB99" s="33">
        <f t="shared" si="29"/>
        <v>-812500</v>
      </c>
      <c r="AC99" s="33">
        <f t="shared" si="29"/>
        <v>-1000000</v>
      </c>
      <c r="AD99" s="33">
        <f t="shared" si="29"/>
        <v>-1250000</v>
      </c>
    </row>
    <row r="100" spans="2:32">
      <c r="B100" s="128">
        <f>B$94*7</f>
        <v>0</v>
      </c>
      <c r="C100" s="126"/>
      <c r="D100" s="129">
        <f t="shared" si="24"/>
        <v>0</v>
      </c>
      <c r="E100" s="126"/>
      <c r="F100" s="130">
        <f t="shared" si="25"/>
        <v>-3000000</v>
      </c>
      <c r="G100" s="126"/>
      <c r="H100" s="129">
        <f t="shared" si="26"/>
        <v>-3000000</v>
      </c>
      <c r="I100" s="126"/>
      <c r="J100" s="127"/>
      <c r="S100" s="95" t="s">
        <v>87</v>
      </c>
      <c r="T100" s="95"/>
      <c r="U100" s="33">
        <f t="shared" ref="U100:AD100" si="30">-U70*$H$25</f>
        <v>-375000</v>
      </c>
      <c r="V100" s="33">
        <f t="shared" si="30"/>
        <v>-562500</v>
      </c>
      <c r="W100" s="33">
        <f t="shared" si="30"/>
        <v>-937500</v>
      </c>
      <c r="X100" s="33">
        <f t="shared" si="30"/>
        <v>-1500000</v>
      </c>
      <c r="Y100" s="33">
        <f t="shared" si="30"/>
        <v>-2250000</v>
      </c>
      <c r="Z100" s="33">
        <f t="shared" si="30"/>
        <v>-3000000</v>
      </c>
      <c r="AA100" s="33">
        <f t="shared" si="30"/>
        <v>-3750000</v>
      </c>
      <c r="AB100" s="33">
        <f t="shared" si="30"/>
        <v>-4875000</v>
      </c>
      <c r="AC100" s="33">
        <f t="shared" si="30"/>
        <v>-6000000</v>
      </c>
      <c r="AD100" s="33">
        <f t="shared" si="30"/>
        <v>-7500000</v>
      </c>
    </row>
    <row r="101" spans="2:32">
      <c r="B101" s="131"/>
      <c r="C101" s="126"/>
      <c r="D101" s="126"/>
      <c r="E101" s="126"/>
      <c r="F101" s="126"/>
      <c r="G101" s="126"/>
      <c r="H101" s="126"/>
      <c r="I101" s="126"/>
      <c r="J101" s="127"/>
      <c r="S101" s="96" t="s">
        <v>95</v>
      </c>
      <c r="T101" s="96"/>
      <c r="U101" s="97">
        <f>SUM(U98:U100)</f>
        <v>-1287500</v>
      </c>
      <c r="V101" s="97">
        <f t="shared" ref="V101:AD101" si="31">SUM(V98:V100)</f>
        <v>-1931250</v>
      </c>
      <c r="W101" s="97">
        <f t="shared" si="31"/>
        <v>-3218750</v>
      </c>
      <c r="X101" s="97">
        <f t="shared" si="31"/>
        <v>-5150000</v>
      </c>
      <c r="Y101" s="97">
        <f t="shared" si="31"/>
        <v>-7725000</v>
      </c>
      <c r="Z101" s="97">
        <f t="shared" si="31"/>
        <v>-10300000</v>
      </c>
      <c r="AA101" s="97">
        <f t="shared" si="31"/>
        <v>-12875000</v>
      </c>
      <c r="AB101" s="97">
        <f t="shared" si="31"/>
        <v>-16737500</v>
      </c>
      <c r="AC101" s="97">
        <f t="shared" si="31"/>
        <v>-20600000</v>
      </c>
      <c r="AD101" s="97">
        <f t="shared" si="31"/>
        <v>-25750000</v>
      </c>
      <c r="AE101" s="48"/>
      <c r="AF101" s="48"/>
    </row>
    <row r="102" spans="2:32" ht="16.5" thickBot="1">
      <c r="B102" s="132"/>
      <c r="C102" s="133"/>
      <c r="D102" s="133"/>
      <c r="E102" s="133"/>
      <c r="F102" s="133"/>
      <c r="G102" s="133"/>
      <c r="H102" s="133"/>
      <c r="I102" s="133"/>
      <c r="J102" s="134"/>
    </row>
    <row r="103" spans="2:32">
      <c r="S103" s="3" t="s">
        <v>96</v>
      </c>
      <c r="T103" s="3"/>
    </row>
    <row r="104" spans="2:32">
      <c r="S104" s="95" t="s">
        <v>99</v>
      </c>
      <c r="T104" s="95"/>
      <c r="U104" s="36">
        <f>U85+U92+U98</f>
        <v>528104.28130452288</v>
      </c>
      <c r="V104" s="36">
        <f t="shared" ref="V104:AD104" si="32">V85+V92+V98</f>
        <v>792156.42195678432</v>
      </c>
      <c r="W104" s="36">
        <f t="shared" si="32"/>
        <v>1320260.7032613074</v>
      </c>
      <c r="X104" s="36">
        <f t="shared" si="32"/>
        <v>2112417.1252180915</v>
      </c>
      <c r="Y104" s="36">
        <f t="shared" si="32"/>
        <v>3168625.6878271373</v>
      </c>
      <c r="Z104" s="36">
        <f t="shared" si="32"/>
        <v>4224834.2504361831</v>
      </c>
      <c r="AA104" s="36">
        <f t="shared" si="32"/>
        <v>5000956.9185344242</v>
      </c>
      <c r="AB104" s="36">
        <f t="shared" si="32"/>
        <v>6501243.9940947518</v>
      </c>
      <c r="AC104" s="36">
        <f t="shared" si="32"/>
        <v>7702772.7821768895</v>
      </c>
      <c r="AD104" s="36">
        <f t="shared" si="32"/>
        <v>9628465.97772111</v>
      </c>
      <c r="AE104" s="36"/>
      <c r="AF104" s="36"/>
    </row>
    <row r="105" spans="2:32">
      <c r="S105" s="95" t="s">
        <v>88</v>
      </c>
      <c r="T105" s="95"/>
      <c r="U105" s="36">
        <f t="shared" ref="U105:AD106" si="33">U86+U93+U99</f>
        <v>-16087.605690511336</v>
      </c>
      <c r="V105" s="36">
        <f t="shared" si="33"/>
        <v>-24131.408535767026</v>
      </c>
      <c r="W105" s="36">
        <f t="shared" si="33"/>
        <v>-40219.014226278348</v>
      </c>
      <c r="X105" s="36">
        <f t="shared" si="33"/>
        <v>-64350.422762045346</v>
      </c>
      <c r="Y105" s="36">
        <f t="shared" si="33"/>
        <v>-96525.634143068106</v>
      </c>
      <c r="Z105" s="36">
        <f t="shared" si="33"/>
        <v>-128700.84552409069</v>
      </c>
      <c r="AA105" s="36">
        <f t="shared" si="33"/>
        <v>-202065.15903905523</v>
      </c>
      <c r="AB105" s="36">
        <f t="shared" si="33"/>
        <v>-262684.70675077196</v>
      </c>
      <c r="AC105" s="36">
        <f t="shared" si="33"/>
        <v>-367239.29673869279</v>
      </c>
      <c r="AD105" s="36">
        <f t="shared" si="33"/>
        <v>-459049.1209233664</v>
      </c>
      <c r="AE105" s="36"/>
      <c r="AF105" s="36"/>
    </row>
    <row r="106" spans="2:32">
      <c r="S106" s="95" t="s">
        <v>87</v>
      </c>
      <c r="T106" s="95"/>
      <c r="U106" s="36">
        <f t="shared" si="33"/>
        <v>-210766.67561401153</v>
      </c>
      <c r="V106" s="36">
        <f t="shared" si="33"/>
        <v>-316150.01342101733</v>
      </c>
      <c r="W106" s="36">
        <f t="shared" si="33"/>
        <v>-526916.68903502892</v>
      </c>
      <c r="X106" s="36">
        <f t="shared" si="33"/>
        <v>-843066.70245604613</v>
      </c>
      <c r="Y106" s="36">
        <f t="shared" si="33"/>
        <v>-1264600.0536840693</v>
      </c>
      <c r="Z106" s="36">
        <f t="shared" si="33"/>
        <v>-1686133.4049120923</v>
      </c>
      <c r="AA106" s="36">
        <f t="shared" si="33"/>
        <v>-2116391.7594953701</v>
      </c>
      <c r="AB106" s="36">
        <f t="shared" si="33"/>
        <v>-2751309.2873439807</v>
      </c>
      <c r="AC106" s="36">
        <f t="shared" si="33"/>
        <v>-3395533.485438196</v>
      </c>
      <c r="AD106" s="36">
        <f t="shared" si="33"/>
        <v>-4244416.8567977455</v>
      </c>
      <c r="AE106" s="36"/>
      <c r="AF106" s="36"/>
    </row>
    <row r="107" spans="2:32">
      <c r="S107" s="95" t="s">
        <v>41</v>
      </c>
      <c r="T107" s="95"/>
      <c r="U107" s="36">
        <f>U88</f>
        <v>126249.99999999999</v>
      </c>
      <c r="V107" s="36">
        <f t="shared" ref="V107:AD107" si="34">V88</f>
        <v>189375</v>
      </c>
      <c r="W107" s="36">
        <f t="shared" si="34"/>
        <v>315625</v>
      </c>
      <c r="X107" s="36">
        <f t="shared" si="34"/>
        <v>504999.99999999994</v>
      </c>
      <c r="Y107" s="36">
        <f t="shared" si="34"/>
        <v>757500</v>
      </c>
      <c r="Z107" s="36">
        <f t="shared" si="34"/>
        <v>1009999.9999999999</v>
      </c>
      <c r="AA107" s="36">
        <f t="shared" si="34"/>
        <v>1262500</v>
      </c>
      <c r="AB107" s="36">
        <f t="shared" si="34"/>
        <v>1641249.9999999998</v>
      </c>
      <c r="AC107" s="36">
        <f t="shared" si="34"/>
        <v>2019999.9999999998</v>
      </c>
      <c r="AD107" s="36">
        <f t="shared" si="34"/>
        <v>2525000</v>
      </c>
      <c r="AE107" s="36"/>
      <c r="AF107" s="36"/>
    </row>
    <row r="108" spans="2:32">
      <c r="S108" s="96" t="s">
        <v>97</v>
      </c>
      <c r="T108" s="96"/>
      <c r="U108" s="97">
        <f>SUM(U104:U107)</f>
        <v>427500</v>
      </c>
      <c r="V108" s="97">
        <f t="shared" ref="V108:AD108" si="35">SUM(V104:V107)</f>
        <v>641250</v>
      </c>
      <c r="W108" s="97">
        <f t="shared" si="35"/>
        <v>1068750.0000000002</v>
      </c>
      <c r="X108" s="97">
        <f t="shared" si="35"/>
        <v>1710000</v>
      </c>
      <c r="Y108" s="97">
        <f t="shared" si="35"/>
        <v>2565000</v>
      </c>
      <c r="Z108" s="97">
        <f t="shared" si="35"/>
        <v>3420000</v>
      </c>
      <c r="AA108" s="97">
        <f t="shared" si="35"/>
        <v>3944999.9999999991</v>
      </c>
      <c r="AB108" s="97">
        <f t="shared" si="35"/>
        <v>5128499.9999999991</v>
      </c>
      <c r="AC108" s="97">
        <f t="shared" si="35"/>
        <v>5960000.0000000009</v>
      </c>
      <c r="AD108" s="97">
        <f t="shared" si="35"/>
        <v>7449999.9999999981</v>
      </c>
      <c r="AE108" s="97"/>
      <c r="AF108" s="97"/>
    </row>
    <row r="110" spans="2:32">
      <c r="S110" s="3" t="s">
        <v>25</v>
      </c>
      <c r="T110" s="3"/>
    </row>
    <row r="111" spans="2:32">
      <c r="S111" s="95" t="s">
        <v>90</v>
      </c>
      <c r="T111" s="95"/>
      <c r="U111" s="33">
        <f t="shared" ref="U111:AD111" si="36">-U104*$D$35</f>
        <v>-396078.21097839216</v>
      </c>
      <c r="V111" s="33">
        <f t="shared" si="36"/>
        <v>-594117.3164675883</v>
      </c>
      <c r="W111" s="33">
        <f t="shared" si="36"/>
        <v>-990195.52744598058</v>
      </c>
      <c r="X111" s="33">
        <f t="shared" si="36"/>
        <v>-1584312.8439135686</v>
      </c>
      <c r="Y111" s="33">
        <f t="shared" si="36"/>
        <v>-2376469.2658703532</v>
      </c>
      <c r="Z111" s="33">
        <f t="shared" si="36"/>
        <v>-3168625.6878271373</v>
      </c>
      <c r="AA111" s="33">
        <f t="shared" si="36"/>
        <v>-3750717.6889008181</v>
      </c>
      <c r="AB111" s="33">
        <f t="shared" si="36"/>
        <v>-4875932.9955710638</v>
      </c>
      <c r="AC111" s="33">
        <f t="shared" si="36"/>
        <v>-5777079.5866326671</v>
      </c>
      <c r="AD111" s="33">
        <f t="shared" si="36"/>
        <v>-7221349.4832908325</v>
      </c>
    </row>
    <row r="112" spans="2:32">
      <c r="S112" s="95" t="s">
        <v>88</v>
      </c>
      <c r="T112" s="95"/>
      <c r="U112" s="33">
        <f t="shared" ref="U112:AD112" si="37">-U105*$F$35</f>
        <v>4826.2817071534018</v>
      </c>
      <c r="V112" s="33">
        <f t="shared" si="37"/>
        <v>7239.4225607301087</v>
      </c>
      <c r="W112" s="33">
        <f t="shared" si="37"/>
        <v>12065.704267883506</v>
      </c>
      <c r="X112" s="33">
        <f t="shared" si="37"/>
        <v>19305.126828613607</v>
      </c>
      <c r="Y112" s="33">
        <f t="shared" si="37"/>
        <v>28957.690242920435</v>
      </c>
      <c r="Z112" s="33">
        <f t="shared" si="37"/>
        <v>38610.253657227215</v>
      </c>
      <c r="AA112" s="33">
        <f t="shared" si="37"/>
        <v>60619.547711716579</v>
      </c>
      <c r="AB112" s="33">
        <f t="shared" si="37"/>
        <v>78805.412025231606</v>
      </c>
      <c r="AC112" s="33">
        <f t="shared" si="37"/>
        <v>110171.78902160785</v>
      </c>
      <c r="AD112" s="33">
        <f t="shared" si="37"/>
        <v>137714.73627700994</v>
      </c>
    </row>
    <row r="113" spans="19:32">
      <c r="S113" s="95" t="s">
        <v>87</v>
      </c>
      <c r="T113" s="95"/>
      <c r="U113" s="33">
        <f t="shared" ref="U113:AD113" si="38">-U70*$H$35</f>
        <v>-187500.00000000003</v>
      </c>
      <c r="V113" s="33">
        <f t="shared" si="38"/>
        <v>-281250.00000000006</v>
      </c>
      <c r="W113" s="33">
        <f t="shared" si="38"/>
        <v>-468750.00000000006</v>
      </c>
      <c r="X113" s="33">
        <f t="shared" si="38"/>
        <v>-750000.00000000012</v>
      </c>
      <c r="Y113" s="33">
        <f t="shared" si="38"/>
        <v>-1125000.0000000002</v>
      </c>
      <c r="Z113" s="33">
        <f t="shared" si="38"/>
        <v>-1500000.0000000002</v>
      </c>
      <c r="AA113" s="33">
        <f t="shared" si="38"/>
        <v>-1875000.0000000002</v>
      </c>
      <c r="AB113" s="33">
        <f t="shared" si="38"/>
        <v>-2437500.0000000005</v>
      </c>
      <c r="AC113" s="33">
        <f t="shared" si="38"/>
        <v>-3000000.0000000005</v>
      </c>
      <c r="AD113" s="33">
        <f t="shared" si="38"/>
        <v>-3750000.0000000005</v>
      </c>
    </row>
    <row r="114" spans="19:32">
      <c r="S114" s="95" t="s">
        <v>41</v>
      </c>
      <c r="T114" s="95"/>
      <c r="U114" s="143">
        <f t="shared" ref="U114:AD114" si="39">$P$40</f>
        <v>-3000000</v>
      </c>
      <c r="V114" s="33">
        <f t="shared" si="39"/>
        <v>-3000000</v>
      </c>
      <c r="W114" s="33">
        <f t="shared" si="39"/>
        <v>-3000000</v>
      </c>
      <c r="X114" s="33">
        <f t="shared" si="39"/>
        <v>-3000000</v>
      </c>
      <c r="Y114" s="33">
        <f t="shared" si="39"/>
        <v>-3000000</v>
      </c>
      <c r="Z114" s="33">
        <f t="shared" si="39"/>
        <v>-3000000</v>
      </c>
      <c r="AA114" s="33">
        <f t="shared" si="39"/>
        <v>-3000000</v>
      </c>
      <c r="AB114" s="33">
        <f t="shared" si="39"/>
        <v>-3000000</v>
      </c>
      <c r="AC114" s="33">
        <f t="shared" si="39"/>
        <v>-3000000</v>
      </c>
      <c r="AD114" s="33">
        <f t="shared" si="39"/>
        <v>-3000000</v>
      </c>
    </row>
    <row r="115" spans="19:32">
      <c r="S115" s="95" t="s">
        <v>98</v>
      </c>
      <c r="T115" s="117">
        <f>'Model-1-Low'!T115*1.5</f>
        <v>-7500000</v>
      </c>
      <c r="U115" s="33">
        <v>0</v>
      </c>
      <c r="V115" s="33">
        <v>0</v>
      </c>
      <c r="W115" s="33">
        <v>0</v>
      </c>
      <c r="X115" s="33">
        <v>0</v>
      </c>
      <c r="Y115" s="33">
        <v>0</v>
      </c>
      <c r="Z115" s="33">
        <v>0</v>
      </c>
      <c r="AA115" s="33">
        <v>0</v>
      </c>
      <c r="AB115" s="33">
        <v>0</v>
      </c>
      <c r="AC115" s="33">
        <v>0</v>
      </c>
      <c r="AD115" s="33">
        <v>0</v>
      </c>
    </row>
    <row r="116" spans="19:32">
      <c r="S116" s="96" t="s">
        <v>100</v>
      </c>
      <c r="T116" s="98">
        <f>SUM(T111:T115)</f>
        <v>-7500000</v>
      </c>
      <c r="U116" s="98">
        <f>SUM(U111:U115)</f>
        <v>-3578751.9292712389</v>
      </c>
      <c r="V116" s="98">
        <f t="shared" ref="V116:AD116" si="40">SUM(V111:V115)</f>
        <v>-3868127.8939068583</v>
      </c>
      <c r="W116" s="98">
        <f t="shared" si="40"/>
        <v>-4446879.8231780976</v>
      </c>
      <c r="X116" s="98">
        <f t="shared" si="40"/>
        <v>-5315007.7170849554</v>
      </c>
      <c r="Y116" s="98">
        <f t="shared" si="40"/>
        <v>-6472511.5756274331</v>
      </c>
      <c r="Z116" s="98">
        <f t="shared" si="40"/>
        <v>-7630015.4341699099</v>
      </c>
      <c r="AA116" s="98">
        <f t="shared" si="40"/>
        <v>-8565098.1411891021</v>
      </c>
      <c r="AB116" s="98">
        <f t="shared" si="40"/>
        <v>-10234627.583545832</v>
      </c>
      <c r="AC116" s="98">
        <f t="shared" si="40"/>
        <v>-11666907.79761106</v>
      </c>
      <c r="AD116" s="98">
        <f t="shared" si="40"/>
        <v>-13833634.747013822</v>
      </c>
      <c r="AE116" s="97"/>
      <c r="AF116" s="97"/>
    </row>
    <row r="118" spans="19:32">
      <c r="S118" s="99" t="s">
        <v>29</v>
      </c>
      <c r="T118" s="100">
        <f>T108+T116</f>
        <v>-7500000</v>
      </c>
      <c r="U118" s="100">
        <f>U108+U116</f>
        <v>-3151251.9292712389</v>
      </c>
      <c r="V118" s="100">
        <f t="shared" ref="V118:AD118" si="41">V108+V116</f>
        <v>-3226877.8939068583</v>
      </c>
      <c r="W118" s="100">
        <f t="shared" si="41"/>
        <v>-3378129.8231780976</v>
      </c>
      <c r="X118" s="100">
        <f t="shared" si="41"/>
        <v>-3605007.7170849554</v>
      </c>
      <c r="Y118" s="100">
        <f t="shared" si="41"/>
        <v>-3907511.5756274331</v>
      </c>
      <c r="Z118" s="100">
        <f t="shared" si="41"/>
        <v>-4210015.4341699099</v>
      </c>
      <c r="AA118" s="100">
        <f t="shared" si="41"/>
        <v>-4620098.141189103</v>
      </c>
      <c r="AB118" s="100">
        <f t="shared" si="41"/>
        <v>-5106127.5835458329</v>
      </c>
      <c r="AC118" s="100">
        <f t="shared" si="41"/>
        <v>-5706907.7976110587</v>
      </c>
      <c r="AD118" s="100">
        <f t="shared" si="41"/>
        <v>-6383634.7470138241</v>
      </c>
      <c r="AF118" s="47">
        <f>SUM(T118:AD118)</f>
        <v>-50795562.642598316</v>
      </c>
    </row>
    <row r="119" spans="19:32">
      <c r="AF119">
        <f>SUM(T119:AD119)</f>
        <v>0</v>
      </c>
    </row>
  </sheetData>
  <pageMargins left="0.25" right="0.25" top="0.75" bottom="0.75" header="0.3" footer="0.3"/>
  <pageSetup scale="51" orientation="landscape" horizontalDpi="4294967292" verticalDpi="4294967292" r:id="rId1"/>
  <rowBreaks count="1" manualBreakCount="1">
    <brk id="56" max="31" man="1"/>
  </rowBreaks>
  <colBreaks count="1" manualBreakCount="1">
    <brk id="17" max="118" man="1"/>
  </colBreaks>
  <ignoredErrors>
    <ignoredError sqref="P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22E71-8884-D947-8FE4-A1128BA11A79}">
  <sheetPr>
    <tabColor rgb="FF00B050"/>
  </sheetPr>
  <dimension ref="A1:AG119"/>
  <sheetViews>
    <sheetView showGridLines="0" topLeftCell="A24" zoomScale="85" zoomScaleNormal="85" zoomScaleSheetLayoutView="82" zoomScalePageLayoutView="96" workbookViewId="0">
      <selection activeCell="D51" sqref="D51"/>
    </sheetView>
  </sheetViews>
  <sheetFormatPr defaultColWidth="10.625" defaultRowHeight="15.75" outlineLevelRow="1" outlineLevelCol="1"/>
  <cols>
    <col min="1" max="1" width="3.375" customWidth="1"/>
    <col min="2" max="2" width="36.5" customWidth="1"/>
    <col min="3" max="3" width="3.125" customWidth="1"/>
    <col min="4" max="4" width="14.625" customWidth="1"/>
    <col min="5" max="5" width="2.625" customWidth="1"/>
    <col min="6" max="6" width="14.625" customWidth="1"/>
    <col min="7" max="7" width="2.625" customWidth="1"/>
    <col min="8" max="8" width="13.625" customWidth="1"/>
    <col min="9" max="9" width="2.625" customWidth="1"/>
    <col min="10" max="10" width="12.875" hidden="1" customWidth="1" outlineLevel="1"/>
    <col min="11" max="11" width="2.625" hidden="1" customWidth="1" outlineLevel="1"/>
    <col min="12" max="12" width="12.875" hidden="1" customWidth="1" outlineLevel="1"/>
    <col min="13" max="13" width="2.375" hidden="1" customWidth="1" outlineLevel="1"/>
    <col min="14" max="14" width="13.875" customWidth="1" collapsed="1"/>
    <col min="15" max="15" width="2.875" customWidth="1"/>
    <col min="16" max="16" width="15.875" customWidth="1"/>
    <col min="17" max="18" width="2.875" customWidth="1"/>
    <col min="19" max="19" width="30.625" customWidth="1"/>
    <col min="20" max="20" width="16.5" customWidth="1"/>
    <col min="21" max="21" width="15.375" customWidth="1"/>
    <col min="22" max="22" width="12.375" customWidth="1"/>
    <col min="23" max="23" width="13.5" customWidth="1"/>
    <col min="24" max="24" width="13.875" customWidth="1"/>
    <col min="25" max="25" width="13.5" customWidth="1"/>
    <col min="26" max="26" width="14.875" customWidth="1"/>
    <col min="27" max="27" width="13.375" customWidth="1"/>
    <col min="28" max="29" width="13.625" customWidth="1"/>
    <col min="30" max="30" width="16.125" customWidth="1"/>
    <col min="31" max="31" width="4.5" customWidth="1"/>
    <col min="32" max="32" width="13.625" customWidth="1"/>
    <col min="33" max="33" width="2.625" customWidth="1"/>
    <col min="34" max="34" width="15" customWidth="1"/>
  </cols>
  <sheetData>
    <row r="1" spans="1:23" s="69" customFormat="1" ht="18.75">
      <c r="A1" s="278" t="s">
        <v>243</v>
      </c>
    </row>
    <row r="3" spans="1:23">
      <c r="B3" s="4" t="s">
        <v>209</v>
      </c>
      <c r="S3" s="4" t="s">
        <v>152</v>
      </c>
      <c r="T3" s="4"/>
    </row>
    <row r="4" spans="1:23" s="7" customFormat="1" ht="31.5">
      <c r="D4" s="11" t="s">
        <v>17</v>
      </c>
      <c r="F4" s="11" t="s">
        <v>59</v>
      </c>
      <c r="H4" s="11" t="s">
        <v>87</v>
      </c>
      <c r="J4" s="11"/>
      <c r="L4" s="11" t="s">
        <v>105</v>
      </c>
      <c r="N4" s="11" t="s">
        <v>104</v>
      </c>
      <c r="P4" s="12" t="s">
        <v>100</v>
      </c>
    </row>
    <row r="5" spans="1:23">
      <c r="P5" s="13"/>
      <c r="S5" t="s">
        <v>28</v>
      </c>
      <c r="T5" s="10">
        <f>P6</f>
        <v>1016729436.1661481</v>
      </c>
    </row>
    <row r="6" spans="1:23">
      <c r="B6" t="s">
        <v>28</v>
      </c>
      <c r="D6" s="246">
        <f>D11/(1-D8)</f>
        <v>862944162.43654823</v>
      </c>
      <c r="E6" s="244"/>
      <c r="F6" s="246">
        <f>F11/(1-F8)</f>
        <v>126903553.29949239</v>
      </c>
      <c r="G6" s="244"/>
      <c r="H6" s="246">
        <f>H11/(1-H8)</f>
        <v>26881720.43010753</v>
      </c>
      <c r="I6" s="244"/>
      <c r="J6" s="244"/>
      <c r="K6" s="244"/>
      <c r="L6" s="244"/>
      <c r="M6" s="244"/>
      <c r="N6" s="244"/>
      <c r="O6" s="244"/>
      <c r="P6" s="247">
        <f>D6+J6+L6+N6+F6+H6</f>
        <v>1016729436.1661481</v>
      </c>
      <c r="S6" s="5" t="s">
        <v>68</v>
      </c>
      <c r="T6" s="82">
        <f>P7</f>
        <v>-16729436.166148135</v>
      </c>
      <c r="U6" s="21">
        <f>T6/T5</f>
        <v>-1.6454167225875723E-2</v>
      </c>
      <c r="V6" t="s">
        <v>71</v>
      </c>
    </row>
    <row r="7" spans="1:23">
      <c r="B7" t="s">
        <v>66</v>
      </c>
      <c r="D7" s="255">
        <f>-D6*D8</f>
        <v>-12944162.436548224</v>
      </c>
      <c r="E7" s="195"/>
      <c r="F7" s="255">
        <f>-F6*F8</f>
        <v>-1903553.2994923857</v>
      </c>
      <c r="G7" s="195"/>
      <c r="H7" s="255">
        <f>-H6*H8</f>
        <v>-1881720.4301075272</v>
      </c>
      <c r="I7" s="244"/>
      <c r="J7" s="244"/>
      <c r="K7" s="244"/>
      <c r="L7" s="244"/>
      <c r="M7" s="244"/>
      <c r="N7" s="244"/>
      <c r="O7" s="244"/>
      <c r="P7" s="247">
        <f>D7+J7+L7+N7+F7+H7</f>
        <v>-16729436.166148135</v>
      </c>
      <c r="S7" s="10" t="s">
        <v>20</v>
      </c>
      <c r="T7" s="10">
        <f>T5+T6</f>
        <v>999999999.99999988</v>
      </c>
      <c r="U7" s="9"/>
    </row>
    <row r="8" spans="1:23">
      <c r="B8" t="s">
        <v>67</v>
      </c>
      <c r="D8" s="248">
        <f>1.5%</f>
        <v>1.4999999999999999E-2</v>
      </c>
      <c r="E8" s="245"/>
      <c r="F8" s="248">
        <f>1.5%</f>
        <v>1.4999999999999999E-2</v>
      </c>
      <c r="G8" s="245"/>
      <c r="H8" s="249">
        <v>7.0000000000000007E-2</v>
      </c>
      <c r="I8" s="244"/>
      <c r="J8" s="244"/>
      <c r="K8" s="244"/>
      <c r="L8" s="244"/>
      <c r="M8" s="244"/>
      <c r="N8" s="244"/>
      <c r="O8" s="244"/>
      <c r="P8" s="224">
        <f>-P7/P6</f>
        <v>1.6454167225875723E-2</v>
      </c>
      <c r="U8" s="9"/>
    </row>
    <row r="9" spans="1:23">
      <c r="B9" s="191" t="s">
        <v>20</v>
      </c>
      <c r="C9" t="s">
        <v>4</v>
      </c>
      <c r="D9" s="242">
        <f>D6+D7</f>
        <v>850000000</v>
      </c>
      <c r="E9" s="195"/>
      <c r="F9" s="242">
        <f>F6+F7</f>
        <v>125000000</v>
      </c>
      <c r="G9" s="195"/>
      <c r="H9" s="242">
        <f>H6+H7</f>
        <v>25000000.000000004</v>
      </c>
      <c r="I9" s="244"/>
      <c r="J9" s="244"/>
      <c r="K9" s="244"/>
      <c r="L9" s="244"/>
      <c r="M9" s="244"/>
      <c r="N9" s="244"/>
      <c r="O9" s="244"/>
      <c r="P9" s="250">
        <f>D9+J9+L9+N9+F9+H9</f>
        <v>1000000000</v>
      </c>
      <c r="S9" t="s">
        <v>70</v>
      </c>
      <c r="T9" s="10">
        <f>U9*T7</f>
        <v>100000000</v>
      </c>
      <c r="U9" s="9">
        <v>0.1</v>
      </c>
      <c r="V9" t="s">
        <v>72</v>
      </c>
      <c r="W9" t="s">
        <v>103</v>
      </c>
    </row>
    <row r="10" spans="1:23">
      <c r="D10" s="33"/>
      <c r="E10" s="244"/>
      <c r="F10" s="33"/>
      <c r="G10" s="244"/>
      <c r="H10" s="33"/>
      <c r="I10" s="244"/>
      <c r="J10" s="244"/>
      <c r="K10" s="244"/>
      <c r="L10" s="244"/>
      <c r="M10" s="244"/>
      <c r="N10" s="244"/>
      <c r="O10" s="244"/>
      <c r="P10" s="251"/>
    </row>
    <row r="11" spans="1:23">
      <c r="B11" s="23" t="s">
        <v>20</v>
      </c>
      <c r="C11" s="23"/>
      <c r="D11" s="196">
        <v>850000000</v>
      </c>
      <c r="E11" s="196"/>
      <c r="F11" s="196">
        <v>125000000</v>
      </c>
      <c r="G11" s="196"/>
      <c r="H11" s="196">
        <v>25000000</v>
      </c>
      <c r="I11" s="196"/>
      <c r="J11" s="196"/>
      <c r="K11" s="196"/>
      <c r="L11" s="196"/>
      <c r="M11" s="43"/>
      <c r="N11" s="43"/>
      <c r="O11" s="43"/>
      <c r="P11" s="252">
        <f>D11+J11+L11+N11+F11+H11</f>
        <v>1000000000</v>
      </c>
      <c r="S11" s="79" t="s">
        <v>21</v>
      </c>
      <c r="T11" s="83">
        <f>T7+T9</f>
        <v>1100000000</v>
      </c>
    </row>
    <row r="12" spans="1:23">
      <c r="B12" s="23" t="s">
        <v>18</v>
      </c>
      <c r="C12" s="23"/>
      <c r="D12" s="196">
        <v>5000000</v>
      </c>
      <c r="E12" s="196"/>
      <c r="F12" s="196">
        <v>2000000</v>
      </c>
      <c r="G12" s="196"/>
      <c r="H12" s="196">
        <v>35000</v>
      </c>
      <c r="I12" s="196"/>
      <c r="J12" s="196"/>
      <c r="K12" s="196"/>
      <c r="L12" s="196"/>
      <c r="M12" s="43"/>
      <c r="N12" s="43"/>
      <c r="O12" s="43"/>
      <c r="P12" s="252"/>
    </row>
    <row r="13" spans="1:23">
      <c r="B13" s="23" t="s">
        <v>19</v>
      </c>
      <c r="C13" s="23"/>
      <c r="D13" s="29">
        <f>INT(D11/D12)</f>
        <v>170</v>
      </c>
      <c r="E13" s="196"/>
      <c r="F13" s="29">
        <f>INT(F11/F12)</f>
        <v>62</v>
      </c>
      <c r="G13" s="196"/>
      <c r="H13" s="29">
        <f>INT(H11/H12)</f>
        <v>714</v>
      </c>
      <c r="I13" s="196"/>
      <c r="J13" s="29"/>
      <c r="K13" s="196"/>
      <c r="L13" s="29"/>
      <c r="M13" s="43"/>
      <c r="N13" s="43"/>
      <c r="O13" s="43"/>
      <c r="P13" s="252"/>
      <c r="S13" t="s">
        <v>69</v>
      </c>
      <c r="T13" s="10">
        <f>T11-T14</f>
        <v>935000000</v>
      </c>
    </row>
    <row r="14" spans="1:23">
      <c r="B14" s="23"/>
      <c r="C14" s="2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253"/>
      <c r="S14" t="s">
        <v>6</v>
      </c>
      <c r="T14" s="10">
        <f>T11*U14</f>
        <v>165000000</v>
      </c>
      <c r="U14" s="8">
        <v>0.15</v>
      </c>
      <c r="V14" t="s">
        <v>73</v>
      </c>
    </row>
    <row r="15" spans="1:23">
      <c r="B15" s="23" t="s">
        <v>104</v>
      </c>
      <c r="C15" s="2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219">
        <f>T9</f>
        <v>100000000</v>
      </c>
      <c r="O15" s="43"/>
      <c r="P15" s="252">
        <f>D15+J15+L15+N15+F15+H15</f>
        <v>100000000</v>
      </c>
      <c r="S15" s="79" t="s">
        <v>22</v>
      </c>
      <c r="T15" s="83">
        <f>T13+T14</f>
        <v>1100000000</v>
      </c>
    </row>
    <row r="16" spans="1:23"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51"/>
    </row>
    <row r="17" spans="2:22"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51"/>
      <c r="S17" t="s">
        <v>74</v>
      </c>
      <c r="T17" s="22">
        <f>T13/T5</f>
        <v>0.91961535364380631</v>
      </c>
    </row>
    <row r="18" spans="2:22">
      <c r="B18" t="s">
        <v>10</v>
      </c>
      <c r="D18" s="284">
        <v>0.05</v>
      </c>
      <c r="E18" s="254"/>
      <c r="F18" s="284">
        <v>2.5000000000000001E-2</v>
      </c>
      <c r="G18" s="254"/>
      <c r="H18" s="284">
        <v>0.15</v>
      </c>
      <c r="I18" s="254"/>
      <c r="J18" s="254"/>
      <c r="K18" s="254"/>
      <c r="L18" s="254"/>
      <c r="M18" s="195"/>
      <c r="N18" s="284">
        <f>T21</f>
        <v>2.5249999999999998E-2</v>
      </c>
      <c r="O18" s="244"/>
      <c r="P18" s="224">
        <f>P19/P$11</f>
        <v>5.1900000000000002E-2</v>
      </c>
    </row>
    <row r="19" spans="2:22">
      <c r="B19" t="s">
        <v>23</v>
      </c>
      <c r="D19" s="213">
        <f>D$11*D18</f>
        <v>42500000</v>
      </c>
      <c r="E19" s="213"/>
      <c r="F19" s="213">
        <f>F$11*F18</f>
        <v>3125000</v>
      </c>
      <c r="G19" s="213"/>
      <c r="H19" s="213">
        <f>H$11*H18</f>
        <v>3750000</v>
      </c>
      <c r="I19" s="213"/>
      <c r="J19" s="213"/>
      <c r="K19" s="213"/>
      <c r="L19" s="213"/>
      <c r="M19" s="195"/>
      <c r="N19" s="255">
        <f>N18*N15</f>
        <v>2525000</v>
      </c>
      <c r="O19" s="244"/>
      <c r="P19" s="250">
        <f>D19+J19+L19+N19+F19+H19</f>
        <v>51900000</v>
      </c>
      <c r="S19" s="4" t="s">
        <v>75</v>
      </c>
    </row>
    <row r="20" spans="2:22"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244"/>
      <c r="P20" s="251"/>
      <c r="S20" t="s">
        <v>153</v>
      </c>
      <c r="T20" s="85">
        <v>0.02</v>
      </c>
      <c r="V20" t="s">
        <v>84</v>
      </c>
    </row>
    <row r="21" spans="2:22">
      <c r="B21" t="s">
        <v>11</v>
      </c>
      <c r="D21" s="254">
        <f>T20</f>
        <v>0.02</v>
      </c>
      <c r="E21" s="195"/>
      <c r="F21" s="254">
        <f>D21</f>
        <v>0.02</v>
      </c>
      <c r="G21" s="195"/>
      <c r="H21" s="254">
        <f>D21</f>
        <v>0.02</v>
      </c>
      <c r="I21" s="195"/>
      <c r="J21" s="254"/>
      <c r="K21" s="195"/>
      <c r="L21" s="254"/>
      <c r="M21" s="195"/>
      <c r="N21" s="195"/>
      <c r="O21" s="244"/>
      <c r="P21" s="224">
        <f>-P23/P$11</f>
        <v>1.8700000000000005E-2</v>
      </c>
      <c r="S21" t="s">
        <v>77</v>
      </c>
      <c r="T21" s="85">
        <f>0.75*2%+0.25*4.1%</f>
        <v>2.5249999999999998E-2</v>
      </c>
      <c r="V21" t="s">
        <v>85</v>
      </c>
    </row>
    <row r="22" spans="2:22">
      <c r="B22" t="s">
        <v>74</v>
      </c>
      <c r="D22" s="254">
        <f>T17</f>
        <v>0.91961535364380631</v>
      </c>
      <c r="E22" s="195"/>
      <c r="F22" s="254">
        <f>D22</f>
        <v>0.91961535364380631</v>
      </c>
      <c r="G22" s="195"/>
      <c r="H22" s="254">
        <f>D22</f>
        <v>0.91961535364380631</v>
      </c>
      <c r="I22" s="195"/>
      <c r="J22" s="254"/>
      <c r="K22" s="195"/>
      <c r="L22" s="254"/>
      <c r="M22" s="195"/>
      <c r="N22" s="195"/>
      <c r="O22" s="244"/>
      <c r="P22" s="20"/>
    </row>
    <row r="23" spans="2:22">
      <c r="B23" t="s">
        <v>12</v>
      </c>
      <c r="D23" s="255">
        <f>-D6*D21*D22</f>
        <v>-15871534.022278892</v>
      </c>
      <c r="E23" s="213"/>
      <c r="F23" s="255">
        <f>-F6*F21*F22</f>
        <v>-2334049.1209233664</v>
      </c>
      <c r="G23" s="213"/>
      <c r="H23" s="255">
        <f>-H6*H21*H22</f>
        <v>-494416.85679774539</v>
      </c>
      <c r="I23" s="213"/>
      <c r="J23" s="255"/>
      <c r="K23" s="213"/>
      <c r="L23" s="255"/>
      <c r="M23" s="195"/>
      <c r="N23" s="195"/>
      <c r="O23" s="244"/>
      <c r="P23" s="247">
        <f>D23+J23+L23+N23+F23+H23</f>
        <v>-18700000.000000004</v>
      </c>
      <c r="V23" t="s">
        <v>114</v>
      </c>
    </row>
    <row r="24" spans="2:22">
      <c r="D24" s="195"/>
      <c r="E24" s="195"/>
      <c r="F24" s="195"/>
      <c r="G24" s="195"/>
      <c r="H24" s="195"/>
      <c r="I24" s="195"/>
      <c r="J24" s="255"/>
      <c r="K24" s="195"/>
      <c r="L24" s="195"/>
      <c r="M24" s="195"/>
      <c r="N24" s="195"/>
      <c r="O24" s="244"/>
      <c r="P24" s="256"/>
      <c r="S24" t="s">
        <v>78</v>
      </c>
    </row>
    <row r="25" spans="2:22">
      <c r="B25" t="s">
        <v>13</v>
      </c>
      <c r="D25" s="286">
        <f>'Model-1-Low'!D25*2</f>
        <v>0.02</v>
      </c>
      <c r="E25" s="254"/>
      <c r="F25" s="286">
        <f>'Model-1-Low'!F25*2</f>
        <v>0.01</v>
      </c>
      <c r="G25" s="254"/>
      <c r="H25" s="286">
        <f>'Model-1-Low'!H25*2</f>
        <v>0.3</v>
      </c>
      <c r="I25" s="254"/>
      <c r="J25" s="255"/>
      <c r="K25" s="254"/>
      <c r="L25" s="254"/>
      <c r="M25" s="195"/>
      <c r="N25" s="195"/>
      <c r="O25" s="244"/>
      <c r="P25" s="224">
        <f>-P26/P$11</f>
        <v>2.5749999999999999E-2</v>
      </c>
      <c r="S25" t="s">
        <v>79</v>
      </c>
      <c r="T25" s="226" t="s">
        <v>64</v>
      </c>
    </row>
    <row r="26" spans="2:22">
      <c r="B26" t="s">
        <v>15</v>
      </c>
      <c r="D26" s="255">
        <f>-D$11*D25</f>
        <v>-17000000</v>
      </c>
      <c r="E26" s="213"/>
      <c r="F26" s="255">
        <f>-F$11*F25</f>
        <v>-1250000</v>
      </c>
      <c r="G26" s="213"/>
      <c r="H26" s="255">
        <f>-H$11*H25</f>
        <v>-7500000</v>
      </c>
      <c r="I26" s="213"/>
      <c r="J26" s="255"/>
      <c r="K26" s="213"/>
      <c r="L26" s="255"/>
      <c r="M26" s="195"/>
      <c r="N26" s="195"/>
      <c r="O26" s="244"/>
      <c r="P26" s="247">
        <f>D26+J26+L26+N26+F26+H26</f>
        <v>-25750000</v>
      </c>
      <c r="S26" t="s">
        <v>81</v>
      </c>
      <c r="T26" t="s">
        <v>80</v>
      </c>
    </row>
    <row r="27" spans="2:22">
      <c r="D27" s="244"/>
      <c r="E27" s="244"/>
      <c r="F27" s="244"/>
      <c r="G27" s="244"/>
      <c r="H27" s="244"/>
      <c r="I27" s="244"/>
      <c r="J27" s="246"/>
      <c r="K27" s="244"/>
      <c r="L27" s="244"/>
      <c r="M27" s="244"/>
      <c r="N27" s="244"/>
      <c r="O27" s="244"/>
      <c r="P27" s="251"/>
      <c r="S27" t="s">
        <v>82</v>
      </c>
      <c r="T27" t="s">
        <v>80</v>
      </c>
    </row>
    <row r="28" spans="2:22">
      <c r="B28" t="s">
        <v>14</v>
      </c>
      <c r="D28" s="260">
        <f>D18-D21-D25</f>
        <v>1.0000000000000002E-2</v>
      </c>
      <c r="E28" s="244"/>
      <c r="F28" s="260">
        <f>F18-F21-F25</f>
        <v>-4.9999999999999992E-3</v>
      </c>
      <c r="G28" s="244"/>
      <c r="H28" s="254">
        <f>H18-H21-H25</f>
        <v>-0.16999999999999998</v>
      </c>
      <c r="I28" s="244"/>
      <c r="J28" s="246"/>
      <c r="K28" s="244"/>
      <c r="L28" s="260"/>
      <c r="M28" s="244"/>
      <c r="N28" s="244"/>
      <c r="O28" s="244"/>
      <c r="P28" s="224">
        <f>P29/P$11</f>
        <v>7.4499999999999966E-3</v>
      </c>
      <c r="S28" t="s">
        <v>83</v>
      </c>
      <c r="T28" s="226" t="s">
        <v>65</v>
      </c>
    </row>
    <row r="29" spans="2:22">
      <c r="B29" s="24"/>
      <c r="C29" s="24"/>
      <c r="D29" s="219">
        <f>D19+D23+D26</f>
        <v>9628465.97772111</v>
      </c>
      <c r="E29" s="219"/>
      <c r="F29" s="219">
        <f>F19+F23+F26</f>
        <v>-459049.1209233664</v>
      </c>
      <c r="G29" s="219"/>
      <c r="H29" s="219">
        <f>H19+H23+H26</f>
        <v>-4244416.8567977455</v>
      </c>
      <c r="I29" s="219"/>
      <c r="J29" s="219"/>
      <c r="K29" s="219"/>
      <c r="L29" s="219"/>
      <c r="M29" s="219"/>
      <c r="N29" s="219">
        <f>N19+N23+N26</f>
        <v>2525000</v>
      </c>
      <c r="O29" s="43"/>
      <c r="P29" s="257">
        <f>P19+P23+P26</f>
        <v>7449999.9999999963</v>
      </c>
    </row>
    <row r="30" spans="2:22" s="69" customFormat="1">
      <c r="B30" s="68"/>
      <c r="C30" s="68"/>
      <c r="D30" s="192"/>
      <c r="E30" s="68"/>
      <c r="F30" s="192"/>
      <c r="G30" s="68"/>
      <c r="H30" s="193"/>
      <c r="I30" s="68"/>
      <c r="J30" s="193"/>
      <c r="K30" s="68"/>
      <c r="L30" s="192"/>
      <c r="M30" s="68"/>
      <c r="N30" s="193"/>
      <c r="O30" s="68"/>
      <c r="P30" s="194"/>
    </row>
    <row r="31" spans="2:22" s="215" customFormat="1">
      <c r="B31" s="215" t="s">
        <v>207</v>
      </c>
      <c r="D31" s="213">
        <v>0</v>
      </c>
      <c r="E31" s="195"/>
      <c r="F31" s="213">
        <v>0</v>
      </c>
      <c r="G31" s="195"/>
      <c r="H31" s="213">
        <v>0</v>
      </c>
      <c r="I31" s="195"/>
      <c r="J31" s="214"/>
      <c r="K31" s="195"/>
      <c r="L31" s="213"/>
      <c r="M31" s="195"/>
      <c r="N31" s="213">
        <v>0</v>
      </c>
      <c r="O31" s="195"/>
      <c r="P31" s="247">
        <f>D31+J31+L31+N31+F31+H31</f>
        <v>0</v>
      </c>
    </row>
    <row r="32" spans="2:22" s="69" customFormat="1">
      <c r="C32" s="68"/>
      <c r="D32" s="192"/>
      <c r="E32" s="68"/>
      <c r="F32" s="192"/>
      <c r="G32" s="68"/>
      <c r="H32" s="193"/>
      <c r="I32" s="68"/>
      <c r="J32" s="193"/>
      <c r="K32" s="68"/>
      <c r="L32" s="192"/>
      <c r="M32" s="68"/>
      <c r="N32" s="193"/>
      <c r="O32" s="68"/>
      <c r="P32" s="194"/>
    </row>
    <row r="33" spans="2:33" s="69" customFormat="1">
      <c r="B33" s="205" t="s">
        <v>208</v>
      </c>
      <c r="C33" s="205"/>
      <c r="D33" s="202">
        <f>D29+D31</f>
        <v>9628465.97772111</v>
      </c>
      <c r="E33" s="202"/>
      <c r="F33" s="202">
        <f t="shared" ref="F33:H33" si="0">F29+F31</f>
        <v>-459049.1209233664</v>
      </c>
      <c r="G33" s="202"/>
      <c r="H33" s="202">
        <f t="shared" si="0"/>
        <v>-4244416.8567977455</v>
      </c>
      <c r="I33" s="201"/>
      <c r="J33" s="203"/>
      <c r="K33" s="201"/>
      <c r="L33" s="204"/>
      <c r="M33" s="201"/>
      <c r="N33" s="202">
        <f t="shared" ref="N33" si="1">N29+N31</f>
        <v>2525000</v>
      </c>
      <c r="O33" s="201"/>
      <c r="P33" s="241">
        <f>D33+J33+L33+N33+F33+H33</f>
        <v>7449999.9999999981</v>
      </c>
    </row>
    <row r="34" spans="2:33"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51"/>
    </row>
    <row r="35" spans="2:33">
      <c r="B35" t="s">
        <v>56</v>
      </c>
      <c r="D35" s="286">
        <f>'Model-1-Low'!D35*1.5</f>
        <v>0.75</v>
      </c>
      <c r="E35" s="254"/>
      <c r="F35" s="254"/>
      <c r="G35" s="254"/>
      <c r="H35" s="286">
        <f>'Model-1-Low'!H35*1.5</f>
        <v>0.15000000000000002</v>
      </c>
      <c r="I35" s="195"/>
      <c r="J35" s="258"/>
      <c r="K35" s="195"/>
      <c r="L35" s="258"/>
      <c r="M35" s="195"/>
      <c r="N35" s="195"/>
      <c r="O35" s="244"/>
      <c r="P35" s="225">
        <f>-P36/P29</f>
        <v>1.4793469459078963</v>
      </c>
    </row>
    <row r="36" spans="2:33">
      <c r="B36" t="s">
        <v>16</v>
      </c>
      <c r="D36" s="255">
        <f>-D35*D29</f>
        <v>-7221349.4832908325</v>
      </c>
      <c r="E36" s="195"/>
      <c r="F36" s="289">
        <f>'Model-1-Low'!F36*1.5</f>
        <v>-49785.263722990087</v>
      </c>
      <c r="G36" s="195"/>
      <c r="H36" s="214">
        <f>-H35*H11</f>
        <v>-3750000.0000000005</v>
      </c>
      <c r="I36" s="195"/>
      <c r="J36" s="214"/>
      <c r="K36" s="195"/>
      <c r="L36" s="255"/>
      <c r="M36" s="195"/>
      <c r="N36" s="195"/>
      <c r="O36" s="244"/>
      <c r="P36" s="247">
        <f>D36+J36+L36+N36+F36+H36</f>
        <v>-11021134.747013822</v>
      </c>
    </row>
    <row r="37" spans="2:33" hidden="1" outlineLevel="1">
      <c r="D37" s="255"/>
      <c r="E37" s="195"/>
      <c r="F37" s="255"/>
      <c r="G37" s="195"/>
      <c r="H37" s="214"/>
      <c r="I37" s="195"/>
      <c r="J37" s="214"/>
      <c r="K37" s="195"/>
      <c r="L37" s="255"/>
      <c r="M37" s="195"/>
      <c r="N37" s="195"/>
      <c r="O37" s="244"/>
      <c r="P37" s="256"/>
    </row>
    <row r="38" spans="2:33" hidden="1" outlineLevel="1">
      <c r="B38" s="23" t="s">
        <v>30</v>
      </c>
      <c r="C38" s="23"/>
      <c r="D38" s="255">
        <f>D33+D36</f>
        <v>2407116.4944302775</v>
      </c>
      <c r="E38" s="255"/>
      <c r="F38" s="255">
        <f t="shared" ref="F38:H38" si="2">F33+F36</f>
        <v>-508834.38464635646</v>
      </c>
      <c r="G38" s="255"/>
      <c r="H38" s="255">
        <f t="shared" si="2"/>
        <v>-7994416.8567977455</v>
      </c>
      <c r="I38" s="195"/>
      <c r="J38" s="214"/>
      <c r="K38" s="195"/>
      <c r="L38" s="255"/>
      <c r="M38" s="195"/>
      <c r="N38" s="255">
        <f t="shared" ref="N38" si="3">N33+N36</f>
        <v>2525000</v>
      </c>
      <c r="O38" s="43"/>
      <c r="P38" s="257">
        <f>P33+P36</f>
        <v>-3571134.7470138241</v>
      </c>
    </row>
    <row r="39" spans="2:33" collapsed="1">
      <c r="D39" s="195" t="s">
        <v>4</v>
      </c>
      <c r="E39" s="195"/>
      <c r="F39" s="195"/>
      <c r="G39" s="195"/>
      <c r="H39" s="214"/>
      <c r="I39" s="195"/>
      <c r="J39" s="214"/>
      <c r="K39" s="195"/>
      <c r="L39" s="195"/>
      <c r="M39" s="195"/>
      <c r="N39" s="195"/>
      <c r="O39" s="244"/>
      <c r="P39" s="119"/>
    </row>
    <row r="40" spans="2:33">
      <c r="B40" t="s">
        <v>40</v>
      </c>
      <c r="D40" s="195"/>
      <c r="E40" s="195"/>
      <c r="F40" s="195"/>
      <c r="G40" s="195"/>
      <c r="H40" s="214"/>
      <c r="I40" s="195"/>
      <c r="J40" s="214"/>
      <c r="K40" s="195"/>
      <c r="L40" s="195"/>
      <c r="M40" s="195"/>
      <c r="N40" s="255">
        <f>'Model-1-Low'!N40*1.5</f>
        <v>-3000000</v>
      </c>
      <c r="O40" s="244"/>
      <c r="P40" s="247">
        <f>D40+J40+L40+N40+F40+H40</f>
        <v>-3000000</v>
      </c>
    </row>
    <row r="41" spans="2:33">
      <c r="D41" s="244"/>
      <c r="E41" s="244"/>
      <c r="F41" s="244"/>
      <c r="G41" s="244"/>
      <c r="H41" s="42"/>
      <c r="I41" s="244"/>
      <c r="J41" s="42"/>
      <c r="K41" s="244"/>
      <c r="L41" s="244"/>
      <c r="M41" s="244"/>
      <c r="N41" s="255"/>
      <c r="O41" s="244"/>
      <c r="P41" s="247"/>
    </row>
    <row r="42" spans="2:33">
      <c r="B42" s="205" t="s">
        <v>217</v>
      </c>
      <c r="C42" s="201"/>
      <c r="D42" s="202">
        <f>D36+D40</f>
        <v>-7221349.4832908325</v>
      </c>
      <c r="E42" s="201"/>
      <c r="F42" s="202">
        <f>F36+F40</f>
        <v>-49785.263722990087</v>
      </c>
      <c r="G42" s="201"/>
      <c r="H42" s="202">
        <f>H36+H40</f>
        <v>-3750000.0000000005</v>
      </c>
      <c r="I42" s="201"/>
      <c r="J42" s="203"/>
      <c r="K42" s="201"/>
      <c r="L42" s="201"/>
      <c r="M42" s="201"/>
      <c r="N42" s="202">
        <f>N36+N40</f>
        <v>-3000000</v>
      </c>
      <c r="O42" s="201"/>
      <c r="P42" s="241">
        <f>D42+J42+L42+N42+F42+H42</f>
        <v>-14021134.747013822</v>
      </c>
    </row>
    <row r="43" spans="2:33">
      <c r="D43" s="244"/>
      <c r="E43" s="244"/>
      <c r="F43" s="244"/>
      <c r="G43" s="244"/>
      <c r="H43" s="42"/>
      <c r="I43" s="244"/>
      <c r="J43" s="42"/>
      <c r="K43" s="244"/>
      <c r="L43" s="244"/>
      <c r="M43" s="244"/>
      <c r="N43" s="255"/>
      <c r="O43" s="244"/>
      <c r="P43" s="247"/>
    </row>
    <row r="44" spans="2:33">
      <c r="D44" s="244"/>
      <c r="E44" s="244"/>
      <c r="F44" s="244"/>
      <c r="G44" s="244"/>
      <c r="H44" s="42"/>
      <c r="I44" s="244"/>
      <c r="J44" s="42"/>
      <c r="K44" s="244"/>
      <c r="L44" s="244"/>
      <c r="M44" s="244"/>
      <c r="N44" s="244"/>
      <c r="O44" s="244"/>
      <c r="P44" s="251"/>
    </row>
    <row r="45" spans="2:33" s="17" customFormat="1" ht="16.5" thickBot="1">
      <c r="B45" s="210" t="s">
        <v>216</v>
      </c>
      <c r="C45" s="210"/>
      <c r="D45" s="211">
        <f>D33+D42</f>
        <v>2407116.4944302775</v>
      </c>
      <c r="E45" s="211"/>
      <c r="F45" s="211">
        <f>F33+F42</f>
        <v>-508834.38464635646</v>
      </c>
      <c r="G45" s="211"/>
      <c r="H45" s="211">
        <f>H33+H42</f>
        <v>-7994416.8567977455</v>
      </c>
      <c r="I45" s="211"/>
      <c r="J45" s="211"/>
      <c r="K45" s="211"/>
      <c r="L45" s="211"/>
      <c r="M45" s="211"/>
      <c r="N45" s="211">
        <f>N33+N42</f>
        <v>-475000</v>
      </c>
      <c r="O45" s="210"/>
      <c r="P45" s="212">
        <f>P33+P42</f>
        <v>-6571134.7470138241</v>
      </c>
      <c r="AG45"/>
    </row>
    <row r="46" spans="2:33" ht="16.5" thickTop="1">
      <c r="P46" s="3"/>
    </row>
    <row r="47" spans="2:33">
      <c r="B47" s="25" t="s">
        <v>223</v>
      </c>
      <c r="P47" s="3"/>
      <c r="Q47" s="25"/>
      <c r="R47" s="25"/>
      <c r="S47" s="25"/>
      <c r="T47" s="25"/>
      <c r="U47" s="78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</row>
    <row r="48" spans="2:33">
      <c r="B48" s="226" t="s">
        <v>224</v>
      </c>
      <c r="C48" s="17"/>
      <c r="D48" s="18"/>
      <c r="E48" s="17"/>
      <c r="F48" s="18"/>
      <c r="G48" s="17"/>
      <c r="H48" s="18"/>
      <c r="I48" s="17"/>
      <c r="J48" s="18"/>
      <c r="K48" s="17"/>
      <c r="L48" s="18"/>
      <c r="M48" s="17"/>
      <c r="N48" s="17"/>
      <c r="O48" s="17"/>
      <c r="P48" s="18"/>
      <c r="Q48" s="25"/>
      <c r="R48" s="55"/>
      <c r="S48" s="25"/>
      <c r="T48" s="25"/>
      <c r="U48" s="25"/>
      <c r="V48" s="25"/>
      <c r="W48" s="25"/>
      <c r="X48" s="25"/>
      <c r="Y48" s="25"/>
      <c r="Z48" s="25"/>
      <c r="AA48" s="25"/>
      <c r="AB48" s="71"/>
      <c r="AC48" s="25"/>
      <c r="AD48" s="25"/>
      <c r="AE48" s="25"/>
      <c r="AF48" s="25"/>
      <c r="AG48" s="25"/>
    </row>
    <row r="49" spans="2:33">
      <c r="B49" s="290" t="s">
        <v>138</v>
      </c>
      <c r="C49" s="290"/>
      <c r="D49" s="291">
        <f>SUM(D36:J36)/P11</f>
        <v>-1.1021134747013822E-2</v>
      </c>
      <c r="E49" s="25"/>
      <c r="F49" s="56"/>
      <c r="G49" s="25"/>
      <c r="H49" s="25"/>
      <c r="I49" s="25"/>
      <c r="J49" s="25"/>
      <c r="K49" s="25"/>
      <c r="L49" s="25"/>
      <c r="M49" s="25"/>
      <c r="N49" s="25"/>
      <c r="O49" s="25"/>
      <c r="P49" s="57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</row>
    <row r="50" spans="2:33">
      <c r="B50" s="25"/>
      <c r="C50" s="25"/>
      <c r="D50" s="71"/>
      <c r="E50" s="25"/>
      <c r="F50" s="25"/>
      <c r="G50" s="25"/>
      <c r="H50" s="25"/>
      <c r="I50" s="25"/>
      <c r="J50" s="25"/>
      <c r="K50" s="25"/>
      <c r="L50" s="25"/>
      <c r="M50" s="25"/>
      <c r="N50" s="56"/>
      <c r="O50" s="25"/>
      <c r="P50" s="57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63"/>
      <c r="AB50" s="25"/>
      <c r="AC50" s="25"/>
      <c r="AD50" s="25"/>
      <c r="AE50" s="25"/>
      <c r="AF50" s="25"/>
      <c r="AG50" s="25"/>
    </row>
    <row r="51" spans="2:33">
      <c r="B51" s="25"/>
      <c r="C51" s="25"/>
      <c r="D51" s="63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25"/>
      <c r="P51" s="56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</row>
    <row r="52" spans="2:33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57"/>
      <c r="V52" s="25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25"/>
    </row>
    <row r="53" spans="2:33">
      <c r="C53" s="25"/>
      <c r="D53" s="72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57"/>
      <c r="V53" s="25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25"/>
    </row>
    <row r="54" spans="2:33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57"/>
      <c r="V54" s="25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25"/>
    </row>
    <row r="55" spans="2:33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57"/>
      <c r="V55" s="25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25"/>
    </row>
    <row r="56" spans="2:33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57"/>
      <c r="V56" s="25" t="s">
        <v>4</v>
      </c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25"/>
    </row>
    <row r="57" spans="2:33">
      <c r="B57" s="22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R57" s="25"/>
      <c r="S57" s="25"/>
      <c r="T57" s="25"/>
      <c r="U57" s="57"/>
      <c r="V57" s="25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25"/>
    </row>
    <row r="58" spans="2:33">
      <c r="B58" s="25"/>
      <c r="C58" s="25"/>
      <c r="D58" s="25"/>
      <c r="E58" s="25"/>
      <c r="F58" s="25"/>
      <c r="G58" s="25"/>
      <c r="H58" s="228"/>
      <c r="I58" s="25"/>
      <c r="J58" s="25"/>
      <c r="K58" s="25"/>
      <c r="L58" s="25"/>
      <c r="M58" s="25"/>
      <c r="N58" s="25"/>
      <c r="O58" s="25"/>
      <c r="P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</row>
    <row r="59" spans="2:33">
      <c r="B59" s="228"/>
      <c r="C59" s="228"/>
      <c r="D59" s="228"/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228"/>
      <c r="P59" s="228"/>
      <c r="R59" s="7"/>
      <c r="S59" s="7" t="s">
        <v>4</v>
      </c>
      <c r="T59" s="7" t="s">
        <v>91</v>
      </c>
      <c r="U59" s="7" t="s">
        <v>43</v>
      </c>
      <c r="V59" s="7" t="s">
        <v>44</v>
      </c>
      <c r="W59" s="7" t="s">
        <v>45</v>
      </c>
      <c r="X59" s="7" t="s">
        <v>46</v>
      </c>
      <c r="Y59" s="7" t="s">
        <v>47</v>
      </c>
      <c r="Z59" s="7" t="s">
        <v>48</v>
      </c>
      <c r="AA59" s="7" t="s">
        <v>49</v>
      </c>
      <c r="AB59" s="7" t="s">
        <v>50</v>
      </c>
      <c r="AC59" s="7" t="s">
        <v>51</v>
      </c>
      <c r="AD59" s="7" t="s">
        <v>52</v>
      </c>
      <c r="AE59" s="7"/>
      <c r="AF59" s="7"/>
    </row>
    <row r="60" spans="2:33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R60" s="102" t="s">
        <v>1</v>
      </c>
      <c r="S60" s="103"/>
    </row>
    <row r="61" spans="2:33">
      <c r="B61" s="25"/>
      <c r="C61" s="25"/>
      <c r="D61" s="229"/>
      <c r="E61" s="229"/>
      <c r="F61" s="229"/>
      <c r="G61" s="229"/>
      <c r="H61" s="229"/>
      <c r="I61" s="229"/>
      <c r="J61" s="229"/>
      <c r="K61" s="229"/>
      <c r="L61" s="229"/>
      <c r="M61" s="25"/>
      <c r="N61" s="25"/>
      <c r="O61" s="25"/>
      <c r="P61" s="229"/>
      <c r="S61" s="17" t="s">
        <v>89</v>
      </c>
      <c r="T61" s="17"/>
    </row>
    <row r="62" spans="2:33">
      <c r="B62" s="25"/>
      <c r="C62" s="25"/>
      <c r="D62" s="229"/>
      <c r="E62" s="229"/>
      <c r="F62" s="229"/>
      <c r="G62" s="229"/>
      <c r="H62" s="229"/>
      <c r="I62" s="229"/>
      <c r="J62" s="229"/>
      <c r="K62" s="229"/>
      <c r="L62" s="229"/>
      <c r="M62" s="25"/>
      <c r="N62" s="25"/>
      <c r="O62" s="25"/>
      <c r="P62" s="229"/>
      <c r="S62" s="91" t="s">
        <v>90</v>
      </c>
      <c r="T62" s="91"/>
      <c r="U62" s="33">
        <f t="shared" ref="U62:AD62" si="4">U68/(1-$D$8)</f>
        <v>43147208.121827409</v>
      </c>
      <c r="V62" s="33">
        <f t="shared" si="4"/>
        <v>64720812.18274112</v>
      </c>
      <c r="W62" s="33">
        <f t="shared" si="4"/>
        <v>107868020.30456853</v>
      </c>
      <c r="X62" s="33">
        <f t="shared" si="4"/>
        <v>172588832.48730963</v>
      </c>
      <c r="Y62" s="33">
        <f t="shared" si="4"/>
        <v>258883248.73096448</v>
      </c>
      <c r="Z62" s="33">
        <f t="shared" si="4"/>
        <v>345177664.97461927</v>
      </c>
      <c r="AA62" s="33">
        <f t="shared" si="4"/>
        <v>431472081.21827412</v>
      </c>
      <c r="AB62" s="33">
        <f t="shared" si="4"/>
        <v>560913705.58375633</v>
      </c>
      <c r="AC62" s="33">
        <f t="shared" si="4"/>
        <v>690355329.94923854</v>
      </c>
      <c r="AD62" s="33">
        <f t="shared" si="4"/>
        <v>862944162.43654823</v>
      </c>
      <c r="AF62" s="47">
        <f>SUM(U62:AD62)</f>
        <v>3538071065.9898481</v>
      </c>
    </row>
    <row r="63" spans="2:33">
      <c r="B63" s="25"/>
      <c r="C63" s="25"/>
      <c r="D63" s="109"/>
      <c r="E63" s="229"/>
      <c r="F63" s="109"/>
      <c r="G63" s="229"/>
      <c r="H63" s="109"/>
      <c r="I63" s="229"/>
      <c r="J63" s="109"/>
      <c r="K63" s="229"/>
      <c r="L63" s="109"/>
      <c r="M63" s="25"/>
      <c r="N63" s="25"/>
      <c r="O63" s="25"/>
      <c r="P63" s="229"/>
      <c r="S63" s="91" t="s">
        <v>88</v>
      </c>
      <c r="T63" s="91"/>
      <c r="U63" s="33">
        <f t="shared" ref="U63:AD63" si="5">U69/(1-$F$8)</f>
        <v>6345177.6649746196</v>
      </c>
      <c r="V63" s="33">
        <f t="shared" si="5"/>
        <v>9517766.4974619299</v>
      </c>
      <c r="W63" s="33">
        <f t="shared" si="5"/>
        <v>15862944.162436549</v>
      </c>
      <c r="X63" s="33">
        <f t="shared" si="5"/>
        <v>25380710.659898479</v>
      </c>
      <c r="Y63" s="33">
        <f t="shared" si="5"/>
        <v>38071065.98984772</v>
      </c>
      <c r="Z63" s="33">
        <f t="shared" si="5"/>
        <v>50761421.319796957</v>
      </c>
      <c r="AA63" s="33">
        <f t="shared" si="5"/>
        <v>63451776.649746194</v>
      </c>
      <c r="AB63" s="33">
        <f t="shared" si="5"/>
        <v>82487309.644670054</v>
      </c>
      <c r="AC63" s="33">
        <f t="shared" si="5"/>
        <v>101522842.63959391</v>
      </c>
      <c r="AD63" s="33">
        <f t="shared" si="5"/>
        <v>126903553.29949239</v>
      </c>
      <c r="AF63" s="47">
        <f>SUM(U63:AD63)</f>
        <v>520304568.52791882</v>
      </c>
    </row>
    <row r="64" spans="2:33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91" t="s">
        <v>87</v>
      </c>
      <c r="T64" s="91"/>
      <c r="U64" s="33">
        <f t="shared" ref="U64:AD64" si="6">U70/(1-$H$8)</f>
        <v>1344086.0215053763</v>
      </c>
      <c r="V64" s="33">
        <f t="shared" si="6"/>
        <v>2016129.0322580647</v>
      </c>
      <c r="W64" s="33">
        <f t="shared" si="6"/>
        <v>3360215.0537634413</v>
      </c>
      <c r="X64" s="33">
        <f t="shared" si="6"/>
        <v>5376344.0860215053</v>
      </c>
      <c r="Y64" s="33">
        <f t="shared" si="6"/>
        <v>8064516.1290322589</v>
      </c>
      <c r="Z64" s="33">
        <f t="shared" si="6"/>
        <v>10752688.172043011</v>
      </c>
      <c r="AA64" s="33">
        <f t="shared" si="6"/>
        <v>13440860.215053765</v>
      </c>
      <c r="AB64" s="33">
        <f t="shared" si="6"/>
        <v>17473118.279569894</v>
      </c>
      <c r="AC64" s="33">
        <f t="shared" si="6"/>
        <v>21505376.344086021</v>
      </c>
      <c r="AD64" s="33">
        <f t="shared" si="6"/>
        <v>26881720.43010753</v>
      </c>
      <c r="AF64" s="47">
        <f>SUM(U64:AD64)</f>
        <v>110215053.76344088</v>
      </c>
    </row>
    <row r="65" spans="2:33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56"/>
      <c r="O65" s="25"/>
      <c r="P65" s="229"/>
      <c r="S65" s="53" t="s">
        <v>28</v>
      </c>
      <c r="T65" s="53"/>
      <c r="U65" s="86">
        <f t="shared" ref="U65:AD65" si="7">SUM(U62:U64)</f>
        <v>50836471.808307409</v>
      </c>
      <c r="V65" s="86">
        <f t="shared" si="7"/>
        <v>76254707.712461114</v>
      </c>
      <c r="W65" s="86">
        <f t="shared" si="7"/>
        <v>127091179.52076851</v>
      </c>
      <c r="X65" s="86">
        <f t="shared" si="7"/>
        <v>203345887.23322964</v>
      </c>
      <c r="Y65" s="86">
        <f t="shared" si="7"/>
        <v>305018830.84984446</v>
      </c>
      <c r="Z65" s="86">
        <f t="shared" si="7"/>
        <v>406691774.46645927</v>
      </c>
      <c r="AA65" s="86">
        <f t="shared" si="7"/>
        <v>508364718.08307403</v>
      </c>
      <c r="AB65" s="86">
        <f t="shared" si="7"/>
        <v>660874133.5079962</v>
      </c>
      <c r="AC65" s="86">
        <f t="shared" si="7"/>
        <v>813383548.93291855</v>
      </c>
      <c r="AD65" s="86">
        <f t="shared" si="7"/>
        <v>1016729436.1661481</v>
      </c>
      <c r="AE65" s="48"/>
      <c r="AF65" s="49">
        <f>SUM(U65:AD65)</f>
        <v>4168590688.2812076</v>
      </c>
    </row>
    <row r="66" spans="2:33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</row>
    <row r="67" spans="2:33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S67" s="17" t="s">
        <v>20</v>
      </c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</row>
    <row r="68" spans="2:33">
      <c r="B68" s="25"/>
      <c r="C68" s="25"/>
      <c r="D68" s="230"/>
      <c r="E68" s="230"/>
      <c r="F68" s="230"/>
      <c r="G68" s="230"/>
      <c r="H68" s="230"/>
      <c r="I68" s="230"/>
      <c r="J68" s="230"/>
      <c r="K68" s="230"/>
      <c r="L68" s="230"/>
      <c r="M68" s="25"/>
      <c r="N68" s="230"/>
      <c r="O68" s="25"/>
      <c r="P68" s="111"/>
      <c r="S68" s="91" t="s">
        <v>90</v>
      </c>
      <c r="T68" s="91"/>
      <c r="U68" s="50">
        <f t="shared" ref="U68:AD68" si="8">($D$11/$P$11)*U71</f>
        <v>42500000</v>
      </c>
      <c r="V68" s="50">
        <f t="shared" si="8"/>
        <v>63750000</v>
      </c>
      <c r="W68" s="50">
        <f t="shared" si="8"/>
        <v>106250000</v>
      </c>
      <c r="X68" s="50">
        <f t="shared" si="8"/>
        <v>170000000</v>
      </c>
      <c r="Y68" s="50">
        <f t="shared" si="8"/>
        <v>255000000</v>
      </c>
      <c r="Z68" s="50">
        <f t="shared" si="8"/>
        <v>340000000</v>
      </c>
      <c r="AA68" s="50">
        <f t="shared" si="8"/>
        <v>425000000</v>
      </c>
      <c r="AB68" s="50">
        <f t="shared" si="8"/>
        <v>552500000</v>
      </c>
      <c r="AC68" s="50">
        <f t="shared" si="8"/>
        <v>680000000</v>
      </c>
      <c r="AD68" s="50">
        <f t="shared" si="8"/>
        <v>850000000</v>
      </c>
      <c r="AF68" s="47">
        <f>SUM(U68:AD68)</f>
        <v>3485000000</v>
      </c>
    </row>
    <row r="69" spans="2:33">
      <c r="B69" s="25"/>
      <c r="C69" s="25"/>
      <c r="D69" s="229"/>
      <c r="E69" s="229"/>
      <c r="F69" s="229"/>
      <c r="G69" s="229"/>
      <c r="H69" s="229"/>
      <c r="I69" s="229"/>
      <c r="J69" s="229"/>
      <c r="K69" s="229"/>
      <c r="L69" s="229"/>
      <c r="M69" s="25"/>
      <c r="N69" s="56"/>
      <c r="O69" s="25"/>
      <c r="P69" s="229"/>
      <c r="S69" s="91" t="s">
        <v>88</v>
      </c>
      <c r="T69" s="91"/>
      <c r="U69" s="50">
        <f t="shared" ref="U69:AD69" si="9">U71-U68-U70</f>
        <v>6250000</v>
      </c>
      <c r="V69" s="50">
        <f t="shared" si="9"/>
        <v>9375000</v>
      </c>
      <c r="W69" s="50">
        <f t="shared" si="9"/>
        <v>15625000</v>
      </c>
      <c r="X69" s="50">
        <f t="shared" si="9"/>
        <v>25000000</v>
      </c>
      <c r="Y69" s="50">
        <f t="shared" si="9"/>
        <v>37500000</v>
      </c>
      <c r="Z69" s="50">
        <f t="shared" si="9"/>
        <v>50000000</v>
      </c>
      <c r="AA69" s="50">
        <f t="shared" si="9"/>
        <v>62500000</v>
      </c>
      <c r="AB69" s="50">
        <f t="shared" si="9"/>
        <v>81250000</v>
      </c>
      <c r="AC69" s="50">
        <f t="shared" si="9"/>
        <v>100000000</v>
      </c>
      <c r="AD69" s="50">
        <f t="shared" si="9"/>
        <v>125000000</v>
      </c>
      <c r="AF69" s="47">
        <f>SUM(U69:AD69)</f>
        <v>512500000</v>
      </c>
    </row>
    <row r="70" spans="2:33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S70" s="91" t="s">
        <v>87</v>
      </c>
      <c r="T70" s="91"/>
      <c r="U70" s="60">
        <f t="shared" ref="U70:AD70" si="10">($H$11/$P$11)*U71</f>
        <v>1250000</v>
      </c>
      <c r="V70" s="60">
        <f t="shared" si="10"/>
        <v>1875000</v>
      </c>
      <c r="W70" s="60">
        <f t="shared" si="10"/>
        <v>3125000</v>
      </c>
      <c r="X70" s="60">
        <f t="shared" si="10"/>
        <v>5000000</v>
      </c>
      <c r="Y70" s="60">
        <f t="shared" si="10"/>
        <v>7500000</v>
      </c>
      <c r="Z70" s="60">
        <f t="shared" si="10"/>
        <v>10000000</v>
      </c>
      <c r="AA70" s="60">
        <f t="shared" si="10"/>
        <v>12500000</v>
      </c>
      <c r="AB70" s="60">
        <f t="shared" si="10"/>
        <v>16250000</v>
      </c>
      <c r="AC70" s="60">
        <f t="shared" si="10"/>
        <v>20000000</v>
      </c>
      <c r="AD70" s="60">
        <f t="shared" si="10"/>
        <v>25000000</v>
      </c>
      <c r="AF70" s="47">
        <f>SUM(U70:AD70)</f>
        <v>102500000</v>
      </c>
    </row>
    <row r="71" spans="2:33">
      <c r="B71" s="25"/>
      <c r="C71" s="25"/>
      <c r="D71" s="230"/>
      <c r="E71" s="25"/>
      <c r="F71" s="230"/>
      <c r="G71" s="25"/>
      <c r="H71" s="230"/>
      <c r="I71" s="25"/>
      <c r="J71" s="230"/>
      <c r="K71" s="25"/>
      <c r="L71" s="230"/>
      <c r="M71" s="25"/>
      <c r="N71" s="25"/>
      <c r="O71" s="25"/>
      <c r="P71" s="111"/>
      <c r="S71" s="53" t="s">
        <v>86</v>
      </c>
      <c r="T71" s="53"/>
      <c r="U71" s="86">
        <v>50000000</v>
      </c>
      <c r="V71" s="86">
        <v>75000000</v>
      </c>
      <c r="W71" s="86">
        <v>125000000</v>
      </c>
      <c r="X71" s="86">
        <v>200000000</v>
      </c>
      <c r="Y71" s="86">
        <v>300000000</v>
      </c>
      <c r="Z71" s="86">
        <v>400000000</v>
      </c>
      <c r="AA71" s="86">
        <v>500000000</v>
      </c>
      <c r="AB71" s="86">
        <v>650000000</v>
      </c>
      <c r="AC71" s="86">
        <v>800000000</v>
      </c>
      <c r="AD71" s="86">
        <v>1000000000</v>
      </c>
      <c r="AE71" s="48"/>
      <c r="AF71" s="49">
        <f>SUM(U71:AD71)</f>
        <v>4100000000</v>
      </c>
    </row>
    <row r="72" spans="2:33">
      <c r="B72" s="25"/>
      <c r="C72" s="25"/>
      <c r="D72" s="56"/>
      <c r="E72" s="229"/>
      <c r="F72" s="56"/>
      <c r="G72" s="229"/>
      <c r="H72" s="56"/>
      <c r="I72" s="229"/>
      <c r="J72" s="56"/>
      <c r="K72" s="229"/>
      <c r="L72" s="56"/>
      <c r="M72" s="25"/>
      <c r="N72" s="25"/>
      <c r="O72" s="25"/>
      <c r="P72" s="56"/>
      <c r="S72" s="51"/>
      <c r="T72" s="51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3"/>
      <c r="AF72" s="87"/>
    </row>
    <row r="73" spans="2:33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57"/>
      <c r="S73" t="s">
        <v>70</v>
      </c>
      <c r="U73" s="92">
        <f t="shared" ref="U73:AD73" si="11">U71*$U$9</f>
        <v>5000000</v>
      </c>
      <c r="V73" s="92">
        <f t="shared" si="11"/>
        <v>7500000</v>
      </c>
      <c r="W73" s="92">
        <f t="shared" si="11"/>
        <v>12500000</v>
      </c>
      <c r="X73" s="92">
        <f t="shared" si="11"/>
        <v>20000000</v>
      </c>
      <c r="Y73" s="92">
        <f t="shared" si="11"/>
        <v>30000000</v>
      </c>
      <c r="Z73" s="92">
        <f t="shared" si="11"/>
        <v>40000000</v>
      </c>
      <c r="AA73" s="92">
        <f t="shared" si="11"/>
        <v>50000000</v>
      </c>
      <c r="AB73" s="92">
        <f t="shared" si="11"/>
        <v>65000000</v>
      </c>
      <c r="AC73" s="92">
        <f t="shared" si="11"/>
        <v>80000000</v>
      </c>
      <c r="AD73" s="92">
        <f t="shared" si="11"/>
        <v>100000000</v>
      </c>
      <c r="AE73" s="3"/>
      <c r="AF73" s="3"/>
      <c r="AG73" s="3"/>
    </row>
    <row r="74" spans="2:33">
      <c r="B74" s="25"/>
      <c r="C74" s="25"/>
      <c r="D74" s="230"/>
      <c r="E74" s="230"/>
      <c r="F74" s="230"/>
      <c r="G74" s="230"/>
      <c r="H74" s="230"/>
      <c r="I74" s="230"/>
      <c r="J74" s="230"/>
      <c r="K74" s="230"/>
      <c r="L74" s="230"/>
      <c r="M74" s="25"/>
      <c r="N74" s="25"/>
      <c r="O74" s="25"/>
      <c r="P74" s="111"/>
      <c r="S74" s="3"/>
      <c r="T74" s="3"/>
      <c r="U74" s="3"/>
      <c r="V74" s="3"/>
      <c r="W74" s="65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2:33" ht="16.5" thickBot="1">
      <c r="B75" s="25"/>
      <c r="C75" s="25"/>
      <c r="D75" s="56"/>
      <c r="E75" s="229"/>
      <c r="F75" s="56"/>
      <c r="G75" s="229"/>
      <c r="H75" s="56"/>
      <c r="I75" s="229"/>
      <c r="J75" s="56"/>
      <c r="K75" s="229"/>
      <c r="L75" s="56"/>
      <c r="M75" s="25"/>
      <c r="N75" s="25"/>
      <c r="O75" s="25"/>
      <c r="P75" s="56"/>
      <c r="S75" s="93" t="s">
        <v>21</v>
      </c>
      <c r="T75" s="93"/>
      <c r="U75" s="94">
        <f>U71+U73</f>
        <v>55000000</v>
      </c>
      <c r="V75" s="94">
        <f t="shared" ref="V75:AD75" si="12">V71+V73</f>
        <v>82500000</v>
      </c>
      <c r="W75" s="94">
        <f t="shared" si="12"/>
        <v>137500000</v>
      </c>
      <c r="X75" s="94">
        <f t="shared" si="12"/>
        <v>220000000</v>
      </c>
      <c r="Y75" s="94">
        <f t="shared" si="12"/>
        <v>330000000</v>
      </c>
      <c r="Z75" s="94">
        <f t="shared" si="12"/>
        <v>440000000</v>
      </c>
      <c r="AA75" s="94">
        <f t="shared" si="12"/>
        <v>550000000</v>
      </c>
      <c r="AB75" s="94">
        <f t="shared" si="12"/>
        <v>715000000</v>
      </c>
      <c r="AC75" s="94">
        <f t="shared" si="12"/>
        <v>880000000</v>
      </c>
      <c r="AD75" s="94">
        <f t="shared" si="12"/>
        <v>1100000000</v>
      </c>
      <c r="AE75" s="93"/>
      <c r="AF75" s="93"/>
      <c r="AG75" s="3"/>
    </row>
    <row r="76" spans="2:33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AG76" s="3"/>
    </row>
    <row r="77" spans="2:33">
      <c r="B77" s="25"/>
      <c r="C77" s="25"/>
      <c r="D77" s="230"/>
      <c r="E77" s="25"/>
      <c r="F77" s="230"/>
      <c r="G77" s="25"/>
      <c r="H77" s="230"/>
      <c r="I77" s="25"/>
      <c r="J77" s="230"/>
      <c r="K77" s="25"/>
      <c r="L77" s="230"/>
      <c r="M77" s="25"/>
      <c r="N77" s="25"/>
      <c r="O77" s="25"/>
      <c r="P77" s="111"/>
      <c r="S77" s="54" t="s">
        <v>6</v>
      </c>
      <c r="T77" s="3"/>
      <c r="U77" s="26">
        <v>0.2</v>
      </c>
      <c r="V77" s="26">
        <v>0.2</v>
      </c>
      <c r="W77" s="26">
        <v>0.2</v>
      </c>
      <c r="X77" s="26">
        <v>0.2</v>
      </c>
      <c r="Y77" s="26">
        <v>0.2</v>
      </c>
      <c r="Z77" s="26">
        <v>0.2</v>
      </c>
      <c r="AA77" s="26">
        <v>0.17</v>
      </c>
      <c r="AB77" s="26">
        <v>0.17</v>
      </c>
      <c r="AC77" s="26">
        <v>0.15</v>
      </c>
      <c r="AD77" s="26">
        <v>0.15</v>
      </c>
      <c r="AE77" s="3"/>
      <c r="AF77" s="87"/>
      <c r="AG77" s="3"/>
    </row>
    <row r="78" spans="2:33">
      <c r="B78" s="55"/>
      <c r="C78" s="55"/>
      <c r="D78" s="231"/>
      <c r="E78" s="55"/>
      <c r="F78" s="231"/>
      <c r="G78" s="55"/>
      <c r="H78" s="232"/>
      <c r="I78" s="55"/>
      <c r="J78" s="231"/>
      <c r="K78" s="55"/>
      <c r="L78" s="231"/>
      <c r="M78" s="55"/>
      <c r="N78" s="232"/>
      <c r="O78" s="55"/>
      <c r="P78" s="233"/>
      <c r="S78" s="89" t="s">
        <v>101</v>
      </c>
      <c r="T78" s="89"/>
      <c r="U78" s="87">
        <f>U75*U77</f>
        <v>11000000</v>
      </c>
      <c r="V78" s="87">
        <f t="shared" ref="V78:AD78" si="13">V75*V77</f>
        <v>16500000</v>
      </c>
      <c r="W78" s="87">
        <f t="shared" si="13"/>
        <v>27500000</v>
      </c>
      <c r="X78" s="87">
        <f t="shared" si="13"/>
        <v>44000000</v>
      </c>
      <c r="Y78" s="87">
        <f t="shared" si="13"/>
        <v>66000000</v>
      </c>
      <c r="Z78" s="87">
        <f t="shared" si="13"/>
        <v>88000000</v>
      </c>
      <c r="AA78" s="87">
        <f t="shared" si="13"/>
        <v>93500000</v>
      </c>
      <c r="AB78" s="87">
        <f t="shared" si="13"/>
        <v>121550000.00000001</v>
      </c>
      <c r="AC78" s="87">
        <f t="shared" si="13"/>
        <v>132000000</v>
      </c>
      <c r="AD78" s="87">
        <f t="shared" si="13"/>
        <v>165000000</v>
      </c>
      <c r="AE78" s="3"/>
      <c r="AF78" s="87"/>
      <c r="AG78" s="3"/>
    </row>
    <row r="79" spans="2:33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AG79" s="3"/>
    </row>
    <row r="80" spans="2:33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56"/>
      <c r="S80" t="s">
        <v>102</v>
      </c>
      <c r="U80" s="36">
        <f>U75-U78</f>
        <v>44000000</v>
      </c>
      <c r="V80" s="36">
        <f t="shared" ref="V80:AD80" si="14">V75-V78</f>
        <v>66000000</v>
      </c>
      <c r="W80" s="36">
        <f t="shared" si="14"/>
        <v>110000000</v>
      </c>
      <c r="X80" s="36">
        <f t="shared" si="14"/>
        <v>176000000</v>
      </c>
      <c r="Y80" s="36">
        <f t="shared" si="14"/>
        <v>264000000</v>
      </c>
      <c r="Z80" s="36">
        <f t="shared" si="14"/>
        <v>352000000</v>
      </c>
      <c r="AA80" s="36">
        <f t="shared" si="14"/>
        <v>456500000</v>
      </c>
      <c r="AB80" s="36">
        <f t="shared" si="14"/>
        <v>593450000</v>
      </c>
      <c r="AC80" s="36">
        <f t="shared" si="14"/>
        <v>748000000</v>
      </c>
      <c r="AD80" s="36">
        <f t="shared" si="14"/>
        <v>935000000</v>
      </c>
      <c r="AG80" s="3"/>
    </row>
    <row r="81" spans="2:33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S81" t="s">
        <v>74</v>
      </c>
      <c r="U81" s="19">
        <f>U80/U65</f>
        <v>0.86552033284122931</v>
      </c>
      <c r="V81" s="19">
        <f t="shared" ref="V81:AD81" si="15">V80/V65</f>
        <v>0.86552033284122931</v>
      </c>
      <c r="W81" s="19">
        <f t="shared" si="15"/>
        <v>0.86552033284122942</v>
      </c>
      <c r="X81" s="19">
        <f t="shared" si="15"/>
        <v>0.86552033284122931</v>
      </c>
      <c r="Y81" s="19">
        <f t="shared" si="15"/>
        <v>0.86552033284122931</v>
      </c>
      <c r="Z81" s="19">
        <f t="shared" si="15"/>
        <v>0.86552033284122931</v>
      </c>
      <c r="AA81" s="19">
        <f t="shared" si="15"/>
        <v>0.89797734532277551</v>
      </c>
      <c r="AB81" s="19">
        <f t="shared" si="15"/>
        <v>0.89797734532277562</v>
      </c>
      <c r="AC81" s="19">
        <f t="shared" si="15"/>
        <v>0.9196153536438062</v>
      </c>
      <c r="AD81" s="19">
        <f t="shared" si="15"/>
        <v>0.91961535364380631</v>
      </c>
      <c r="AG81" s="3"/>
    </row>
    <row r="82" spans="2:33"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233"/>
      <c r="AG82" s="3"/>
    </row>
    <row r="83" spans="2:33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R83" s="102" t="s">
        <v>0</v>
      </c>
      <c r="S83" s="103"/>
      <c r="AG83" s="3"/>
    </row>
    <row r="84" spans="2:33">
      <c r="B84" s="40"/>
      <c r="C84" s="40"/>
      <c r="D84" s="163"/>
      <c r="E84" s="40"/>
      <c r="F84" s="163"/>
      <c r="G84" s="40"/>
      <c r="H84" s="40"/>
      <c r="I84" s="40"/>
      <c r="J84" s="163"/>
      <c r="K84" s="40"/>
      <c r="L84" s="163"/>
      <c r="M84" s="40"/>
      <c r="N84" s="40"/>
      <c r="O84" s="40"/>
      <c r="P84" s="163"/>
      <c r="S84" s="3" t="s">
        <v>10</v>
      </c>
      <c r="T84" s="3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3"/>
      <c r="AF84" s="87"/>
      <c r="AG84" s="3"/>
    </row>
    <row r="85" spans="2:33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S85" s="95" t="s">
        <v>90</v>
      </c>
      <c r="T85" s="95"/>
      <c r="U85" s="65">
        <f t="shared" ref="U85:AD85" si="16">U68*$D$18</f>
        <v>2125000</v>
      </c>
      <c r="V85" s="65">
        <f t="shared" si="16"/>
        <v>3187500</v>
      </c>
      <c r="W85" s="65">
        <f t="shared" si="16"/>
        <v>5312500</v>
      </c>
      <c r="X85" s="65">
        <f t="shared" si="16"/>
        <v>8500000</v>
      </c>
      <c r="Y85" s="65">
        <f t="shared" si="16"/>
        <v>12750000</v>
      </c>
      <c r="Z85" s="65">
        <f t="shared" si="16"/>
        <v>17000000</v>
      </c>
      <c r="AA85" s="65">
        <f t="shared" si="16"/>
        <v>21250000</v>
      </c>
      <c r="AB85" s="65">
        <f t="shared" si="16"/>
        <v>27625000</v>
      </c>
      <c r="AC85" s="65">
        <f t="shared" si="16"/>
        <v>34000000</v>
      </c>
      <c r="AD85" s="65">
        <f t="shared" si="16"/>
        <v>42500000</v>
      </c>
      <c r="AE85" s="3"/>
      <c r="AF85" s="87"/>
      <c r="AG85" s="3"/>
    </row>
    <row r="86" spans="2:33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S86" s="95" t="s">
        <v>88</v>
      </c>
      <c r="T86" s="95"/>
      <c r="U86" s="65">
        <f t="shared" ref="U86:AD86" si="17">U69*$F$18</f>
        <v>156250</v>
      </c>
      <c r="V86" s="65">
        <f t="shared" si="17"/>
        <v>234375</v>
      </c>
      <c r="W86" s="65">
        <f t="shared" si="17"/>
        <v>390625</v>
      </c>
      <c r="X86" s="65">
        <f t="shared" si="17"/>
        <v>625000</v>
      </c>
      <c r="Y86" s="65">
        <f t="shared" si="17"/>
        <v>937500</v>
      </c>
      <c r="Z86" s="65">
        <f t="shared" si="17"/>
        <v>1250000</v>
      </c>
      <c r="AA86" s="65">
        <f t="shared" si="17"/>
        <v>1562500</v>
      </c>
      <c r="AB86" s="65">
        <f t="shared" si="17"/>
        <v>2031250</v>
      </c>
      <c r="AC86" s="65">
        <f t="shared" si="17"/>
        <v>2500000</v>
      </c>
      <c r="AD86" s="65">
        <f t="shared" si="17"/>
        <v>3125000</v>
      </c>
      <c r="AE86" s="3"/>
      <c r="AF86" s="87"/>
      <c r="AG86" s="3"/>
    </row>
    <row r="87" spans="2:33">
      <c r="S87" s="95" t="s">
        <v>87</v>
      </c>
      <c r="T87" s="95"/>
      <c r="U87" s="65">
        <f t="shared" ref="U87:AD87" si="18">U70*$H$18</f>
        <v>187500</v>
      </c>
      <c r="V87" s="65">
        <f t="shared" si="18"/>
        <v>281250</v>
      </c>
      <c r="W87" s="65">
        <f t="shared" si="18"/>
        <v>468750</v>
      </c>
      <c r="X87" s="65">
        <f t="shared" si="18"/>
        <v>750000</v>
      </c>
      <c r="Y87" s="65">
        <f t="shared" si="18"/>
        <v>1125000</v>
      </c>
      <c r="Z87" s="65">
        <f t="shared" si="18"/>
        <v>1500000</v>
      </c>
      <c r="AA87" s="65">
        <f t="shared" si="18"/>
        <v>1875000</v>
      </c>
      <c r="AB87" s="65">
        <f t="shared" si="18"/>
        <v>2437500</v>
      </c>
      <c r="AC87" s="65">
        <f t="shared" si="18"/>
        <v>3000000</v>
      </c>
      <c r="AD87" s="65">
        <f t="shared" si="18"/>
        <v>3750000</v>
      </c>
      <c r="AE87" s="3"/>
      <c r="AF87" s="87"/>
      <c r="AG87" s="3"/>
    </row>
    <row r="88" spans="2:33">
      <c r="S88" s="95" t="s">
        <v>41</v>
      </c>
      <c r="T88" s="95"/>
      <c r="U88" s="65">
        <f t="shared" ref="U88:AD88" si="19">U73*$T$21</f>
        <v>126249.99999999999</v>
      </c>
      <c r="V88" s="65">
        <f t="shared" si="19"/>
        <v>189375</v>
      </c>
      <c r="W88" s="65">
        <f t="shared" si="19"/>
        <v>315625</v>
      </c>
      <c r="X88" s="65">
        <f t="shared" si="19"/>
        <v>504999.99999999994</v>
      </c>
      <c r="Y88" s="65">
        <f t="shared" si="19"/>
        <v>757500</v>
      </c>
      <c r="Z88" s="65">
        <f t="shared" si="19"/>
        <v>1009999.9999999999</v>
      </c>
      <c r="AA88" s="65">
        <f t="shared" si="19"/>
        <v>1262500</v>
      </c>
      <c r="AB88" s="65">
        <f t="shared" si="19"/>
        <v>1641249.9999999998</v>
      </c>
      <c r="AC88" s="65">
        <f t="shared" si="19"/>
        <v>2019999.9999999998</v>
      </c>
      <c r="AD88" s="65">
        <f t="shared" si="19"/>
        <v>2525000</v>
      </c>
      <c r="AE88" s="3"/>
      <c r="AF88" s="3"/>
      <c r="AG88" s="3"/>
    </row>
    <row r="89" spans="2:33">
      <c r="R89" s="25"/>
      <c r="S89" s="96" t="s">
        <v>92</v>
      </c>
      <c r="T89" s="96"/>
      <c r="U89" s="97">
        <f>SUM(U85:U88)</f>
        <v>2595000</v>
      </c>
      <c r="V89" s="97">
        <f t="shared" ref="V89:AD89" si="20">SUM(V85:V88)</f>
        <v>3892500</v>
      </c>
      <c r="W89" s="97">
        <f t="shared" si="20"/>
        <v>6487500</v>
      </c>
      <c r="X89" s="97">
        <f t="shared" si="20"/>
        <v>10380000</v>
      </c>
      <c r="Y89" s="97">
        <f t="shared" si="20"/>
        <v>15570000</v>
      </c>
      <c r="Z89" s="97">
        <f t="shared" si="20"/>
        <v>20760000</v>
      </c>
      <c r="AA89" s="97">
        <f t="shared" si="20"/>
        <v>25950000</v>
      </c>
      <c r="AB89" s="97">
        <f t="shared" si="20"/>
        <v>33735000</v>
      </c>
      <c r="AC89" s="97">
        <f t="shared" si="20"/>
        <v>41520000</v>
      </c>
      <c r="AD89" s="97">
        <f t="shared" si="20"/>
        <v>51900000</v>
      </c>
      <c r="AE89" s="48"/>
      <c r="AF89" s="48"/>
    </row>
    <row r="90" spans="2:33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R90" s="25"/>
      <c r="S90" s="3"/>
      <c r="T90" s="3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3"/>
      <c r="AF90" s="3"/>
    </row>
    <row r="91" spans="2:33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S91" s="3" t="s">
        <v>93</v>
      </c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2:33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S92" s="95" t="s">
        <v>90</v>
      </c>
      <c r="T92" s="95"/>
      <c r="U92" s="87">
        <f t="shared" ref="U92:AD94" si="21">-U62*U$81*$T$20</f>
        <v>-746895.71869547712</v>
      </c>
      <c r="V92" s="87">
        <f t="shared" si="21"/>
        <v>-1120343.5780432157</v>
      </c>
      <c r="W92" s="87">
        <f t="shared" si="21"/>
        <v>-1867239.2967386928</v>
      </c>
      <c r="X92" s="87">
        <f t="shared" si="21"/>
        <v>-2987582.8747819085</v>
      </c>
      <c r="Y92" s="87">
        <f t="shared" si="21"/>
        <v>-4481374.3121728627</v>
      </c>
      <c r="Z92" s="87">
        <f t="shared" si="21"/>
        <v>-5975165.7495638169</v>
      </c>
      <c r="AA92" s="87">
        <f t="shared" si="21"/>
        <v>-7749043.0814655758</v>
      </c>
      <c r="AB92" s="87">
        <f t="shared" si="21"/>
        <v>-10073756.00590525</v>
      </c>
      <c r="AC92" s="87">
        <f t="shared" si="21"/>
        <v>-12697227.217823111</v>
      </c>
      <c r="AD92" s="87">
        <f t="shared" si="21"/>
        <v>-15871534.02227889</v>
      </c>
      <c r="AE92" s="25"/>
      <c r="AF92" s="25"/>
    </row>
    <row r="93" spans="2:33">
      <c r="B93" s="281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S93" s="95" t="s">
        <v>88</v>
      </c>
      <c r="T93" s="95"/>
      <c r="U93" s="87">
        <f t="shared" si="21"/>
        <v>-109837.60569051134</v>
      </c>
      <c r="V93" s="87">
        <f t="shared" si="21"/>
        <v>-164756.40853576703</v>
      </c>
      <c r="W93" s="87">
        <f t="shared" si="21"/>
        <v>-274594.01422627835</v>
      </c>
      <c r="X93" s="87">
        <f t="shared" si="21"/>
        <v>-439350.42276204535</v>
      </c>
      <c r="Y93" s="87">
        <f t="shared" si="21"/>
        <v>-659025.63414306811</v>
      </c>
      <c r="Z93" s="87">
        <f t="shared" si="21"/>
        <v>-878700.84552409069</v>
      </c>
      <c r="AA93" s="87">
        <f t="shared" si="21"/>
        <v>-1139565.1590390552</v>
      </c>
      <c r="AB93" s="87">
        <f t="shared" si="21"/>
        <v>-1481434.706750772</v>
      </c>
      <c r="AC93" s="87">
        <f t="shared" si="21"/>
        <v>-1867239.2967386928</v>
      </c>
      <c r="AD93" s="87">
        <f t="shared" si="21"/>
        <v>-2334049.1209233664</v>
      </c>
      <c r="AE93" s="3"/>
      <c r="AF93" s="3"/>
    </row>
    <row r="94" spans="2:33">
      <c r="B94" s="282"/>
      <c r="C94" s="25"/>
      <c r="D94" s="229"/>
      <c r="E94" s="25"/>
      <c r="F94" s="56"/>
      <c r="G94" s="25"/>
      <c r="H94" s="229"/>
      <c r="I94" s="25"/>
      <c r="J94" s="25"/>
      <c r="K94" s="25"/>
      <c r="L94" s="25"/>
      <c r="M94" s="25"/>
      <c r="N94" s="25"/>
      <c r="S94" s="95" t="s">
        <v>87</v>
      </c>
      <c r="T94" s="95"/>
      <c r="U94" s="87">
        <f t="shared" si="21"/>
        <v>-23266.675614011539</v>
      </c>
      <c r="V94" s="87">
        <f t="shared" si="21"/>
        <v>-34900.013421017313</v>
      </c>
      <c r="W94" s="87">
        <f t="shared" si="21"/>
        <v>-58166.68903502886</v>
      </c>
      <c r="X94" s="87">
        <f t="shared" si="21"/>
        <v>-93066.702456046158</v>
      </c>
      <c r="Y94" s="87">
        <f t="shared" si="21"/>
        <v>-139600.05368406925</v>
      </c>
      <c r="Z94" s="87">
        <f t="shared" si="21"/>
        <v>-186133.40491209232</v>
      </c>
      <c r="AA94" s="87">
        <f t="shared" si="21"/>
        <v>-241391.7594953698</v>
      </c>
      <c r="AB94" s="87">
        <f t="shared" si="21"/>
        <v>-313809.28734398074</v>
      </c>
      <c r="AC94" s="87">
        <f t="shared" si="21"/>
        <v>-395533.48543819622</v>
      </c>
      <c r="AD94" s="87">
        <f t="shared" si="21"/>
        <v>-494416.85679774539</v>
      </c>
      <c r="AE94" s="25"/>
      <c r="AF94" s="3"/>
    </row>
    <row r="95" spans="2:33">
      <c r="B95" s="282"/>
      <c r="C95" s="25"/>
      <c r="D95" s="229"/>
      <c r="E95" s="25"/>
      <c r="F95" s="56"/>
      <c r="G95" s="25"/>
      <c r="H95" s="229"/>
      <c r="I95" s="25"/>
      <c r="J95" s="25"/>
      <c r="K95" s="25"/>
      <c r="L95" s="25"/>
      <c r="M95" s="25"/>
      <c r="N95" s="25"/>
      <c r="S95" s="96" t="s">
        <v>94</v>
      </c>
      <c r="T95" s="96"/>
      <c r="U95" s="70">
        <f>SUM(U92:U94)</f>
        <v>-880000</v>
      </c>
      <c r="V95" s="70">
        <f t="shared" ref="V95:AD95" si="22">SUM(V92:V94)</f>
        <v>-1320000</v>
      </c>
      <c r="W95" s="70">
        <f t="shared" si="22"/>
        <v>-2200000</v>
      </c>
      <c r="X95" s="70">
        <f t="shared" si="22"/>
        <v>-3520000</v>
      </c>
      <c r="Y95" s="70">
        <f t="shared" si="22"/>
        <v>-5280000</v>
      </c>
      <c r="Z95" s="70">
        <f t="shared" si="22"/>
        <v>-7040000</v>
      </c>
      <c r="AA95" s="70">
        <f t="shared" si="22"/>
        <v>-9130000.0000000019</v>
      </c>
      <c r="AB95" s="70">
        <f t="shared" si="22"/>
        <v>-11869000.000000002</v>
      </c>
      <c r="AC95" s="70">
        <f t="shared" si="22"/>
        <v>-14960000</v>
      </c>
      <c r="AD95" s="70">
        <f t="shared" si="22"/>
        <v>-18700000</v>
      </c>
      <c r="AE95" s="48"/>
      <c r="AF95" s="48"/>
    </row>
    <row r="96" spans="2:33">
      <c r="B96" s="282"/>
      <c r="C96" s="25"/>
      <c r="D96" s="229"/>
      <c r="E96" s="25"/>
      <c r="F96" s="56"/>
      <c r="G96" s="25"/>
      <c r="H96" s="229"/>
      <c r="I96" s="25"/>
      <c r="J96" s="25"/>
      <c r="K96" s="25"/>
      <c r="L96" s="25"/>
      <c r="M96" s="25"/>
      <c r="N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</row>
    <row r="97" spans="2:32">
      <c r="B97" s="282"/>
      <c r="C97" s="25"/>
      <c r="D97" s="229"/>
      <c r="E97" s="25"/>
      <c r="F97" s="56"/>
      <c r="G97" s="25"/>
      <c r="H97" s="229"/>
      <c r="I97" s="25"/>
      <c r="J97" s="25"/>
      <c r="K97" s="25"/>
      <c r="L97" s="25"/>
      <c r="M97" s="25"/>
      <c r="N97" s="25"/>
      <c r="S97" s="3" t="s">
        <v>24</v>
      </c>
      <c r="T97" s="3"/>
    </row>
    <row r="98" spans="2:32">
      <c r="B98" s="282"/>
      <c r="C98" s="25"/>
      <c r="D98" s="229"/>
      <c r="E98" s="25"/>
      <c r="F98" s="56"/>
      <c r="G98" s="25"/>
      <c r="H98" s="229"/>
      <c r="I98" s="25"/>
      <c r="J98" s="25"/>
      <c r="K98" s="25"/>
      <c r="L98" s="25"/>
      <c r="M98" s="25"/>
      <c r="N98" s="25"/>
      <c r="S98" s="95" t="s">
        <v>90</v>
      </c>
      <c r="T98" s="95"/>
      <c r="U98" s="33">
        <f t="shared" ref="U98:AD98" si="23">-U68*$D$25</f>
        <v>-850000</v>
      </c>
      <c r="V98" s="33">
        <f t="shared" si="23"/>
        <v>-1275000</v>
      </c>
      <c r="W98" s="33">
        <f t="shared" si="23"/>
        <v>-2125000</v>
      </c>
      <c r="X98" s="33">
        <f t="shared" si="23"/>
        <v>-3400000</v>
      </c>
      <c r="Y98" s="33">
        <f t="shared" si="23"/>
        <v>-5100000</v>
      </c>
      <c r="Z98" s="33">
        <f t="shared" si="23"/>
        <v>-6800000</v>
      </c>
      <c r="AA98" s="33">
        <f t="shared" si="23"/>
        <v>-8500000</v>
      </c>
      <c r="AB98" s="33">
        <f t="shared" si="23"/>
        <v>-11050000</v>
      </c>
      <c r="AC98" s="33">
        <f t="shared" si="23"/>
        <v>-13600000</v>
      </c>
      <c r="AD98" s="33">
        <f t="shared" si="23"/>
        <v>-17000000</v>
      </c>
    </row>
    <row r="99" spans="2:32">
      <c r="B99" s="282"/>
      <c r="C99" s="25"/>
      <c r="D99" s="229"/>
      <c r="E99" s="25"/>
      <c r="F99" s="56"/>
      <c r="G99" s="25"/>
      <c r="H99" s="229"/>
      <c r="I99" s="25"/>
      <c r="J99" s="25"/>
      <c r="K99" s="25"/>
      <c r="L99" s="25"/>
      <c r="M99" s="25"/>
      <c r="N99" s="25"/>
      <c r="S99" s="95" t="s">
        <v>88</v>
      </c>
      <c r="T99" s="95"/>
      <c r="U99" s="33">
        <f t="shared" ref="U99:AD99" si="24">-U69*$F$25</f>
        <v>-62500</v>
      </c>
      <c r="V99" s="33">
        <f t="shared" si="24"/>
        <v>-93750</v>
      </c>
      <c r="W99" s="33">
        <f t="shared" si="24"/>
        <v>-156250</v>
      </c>
      <c r="X99" s="33">
        <f t="shared" si="24"/>
        <v>-250000</v>
      </c>
      <c r="Y99" s="33">
        <f t="shared" si="24"/>
        <v>-375000</v>
      </c>
      <c r="Z99" s="33">
        <f t="shared" si="24"/>
        <v>-500000</v>
      </c>
      <c r="AA99" s="33">
        <f t="shared" si="24"/>
        <v>-625000</v>
      </c>
      <c r="AB99" s="33">
        <f t="shared" si="24"/>
        <v>-812500</v>
      </c>
      <c r="AC99" s="33">
        <f t="shared" si="24"/>
        <v>-1000000</v>
      </c>
      <c r="AD99" s="33">
        <f t="shared" si="24"/>
        <v>-1250000</v>
      </c>
    </row>
    <row r="100" spans="2:32">
      <c r="B100" s="282"/>
      <c r="C100" s="25"/>
      <c r="D100" s="229"/>
      <c r="E100" s="25"/>
      <c r="F100" s="56"/>
      <c r="G100" s="25"/>
      <c r="H100" s="229"/>
      <c r="I100" s="25"/>
      <c r="J100" s="25"/>
      <c r="K100" s="25"/>
      <c r="L100" s="25"/>
      <c r="M100" s="25"/>
      <c r="N100" s="25"/>
      <c r="S100" s="95" t="s">
        <v>87</v>
      </c>
      <c r="T100" s="95"/>
      <c r="U100" s="33">
        <f t="shared" ref="U100:AD100" si="25">-U70*$H$25</f>
        <v>-375000</v>
      </c>
      <c r="V100" s="33">
        <f t="shared" si="25"/>
        <v>-562500</v>
      </c>
      <c r="W100" s="33">
        <f t="shared" si="25"/>
        <v>-937500</v>
      </c>
      <c r="X100" s="33">
        <f t="shared" si="25"/>
        <v>-1500000</v>
      </c>
      <c r="Y100" s="33">
        <f t="shared" si="25"/>
        <v>-2250000</v>
      </c>
      <c r="Z100" s="33">
        <f t="shared" si="25"/>
        <v>-3000000</v>
      </c>
      <c r="AA100" s="33">
        <f t="shared" si="25"/>
        <v>-3750000</v>
      </c>
      <c r="AB100" s="33">
        <f t="shared" si="25"/>
        <v>-4875000</v>
      </c>
      <c r="AC100" s="33">
        <f t="shared" si="25"/>
        <v>-6000000</v>
      </c>
      <c r="AD100" s="33">
        <f t="shared" si="25"/>
        <v>-7500000</v>
      </c>
    </row>
    <row r="101" spans="2:3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S101" s="96" t="s">
        <v>95</v>
      </c>
      <c r="T101" s="96"/>
      <c r="U101" s="97">
        <f>SUM(U98:U100)</f>
        <v>-1287500</v>
      </c>
      <c r="V101" s="97">
        <f t="shared" ref="V101:AD101" si="26">SUM(V98:V100)</f>
        <v>-1931250</v>
      </c>
      <c r="W101" s="97">
        <f t="shared" si="26"/>
        <v>-3218750</v>
      </c>
      <c r="X101" s="97">
        <f t="shared" si="26"/>
        <v>-5150000</v>
      </c>
      <c r="Y101" s="97">
        <f t="shared" si="26"/>
        <v>-7725000</v>
      </c>
      <c r="Z101" s="97">
        <f t="shared" si="26"/>
        <v>-10300000</v>
      </c>
      <c r="AA101" s="97">
        <f t="shared" si="26"/>
        <v>-12875000</v>
      </c>
      <c r="AB101" s="97">
        <f t="shared" si="26"/>
        <v>-16737500</v>
      </c>
      <c r="AC101" s="97">
        <f t="shared" si="26"/>
        <v>-20600000</v>
      </c>
      <c r="AD101" s="97">
        <f t="shared" si="26"/>
        <v>-25750000</v>
      </c>
      <c r="AE101" s="48"/>
      <c r="AF101" s="48"/>
    </row>
    <row r="102" spans="2:32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</row>
    <row r="103" spans="2:32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S103" s="3" t="s">
        <v>96</v>
      </c>
      <c r="T103" s="3"/>
    </row>
    <row r="104" spans="2:32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S104" s="95" t="s">
        <v>99</v>
      </c>
      <c r="T104" s="95"/>
      <c r="U104" s="36">
        <f>U85+U92+U98</f>
        <v>528104.28130452288</v>
      </c>
      <c r="V104" s="36">
        <f t="shared" ref="V104:AD104" si="27">V85+V92+V98</f>
        <v>792156.42195678432</v>
      </c>
      <c r="W104" s="36">
        <f t="shared" si="27"/>
        <v>1320260.7032613074</v>
      </c>
      <c r="X104" s="36">
        <f t="shared" si="27"/>
        <v>2112417.1252180915</v>
      </c>
      <c r="Y104" s="36">
        <f t="shared" si="27"/>
        <v>3168625.6878271373</v>
      </c>
      <c r="Z104" s="36">
        <f t="shared" si="27"/>
        <v>4224834.2504361831</v>
      </c>
      <c r="AA104" s="36">
        <f t="shared" si="27"/>
        <v>5000956.9185344242</v>
      </c>
      <c r="AB104" s="36">
        <f t="shared" si="27"/>
        <v>6501243.9940947518</v>
      </c>
      <c r="AC104" s="36">
        <f t="shared" si="27"/>
        <v>7702772.7821768895</v>
      </c>
      <c r="AD104" s="36">
        <f t="shared" si="27"/>
        <v>9628465.97772111</v>
      </c>
      <c r="AE104" s="36"/>
      <c r="AF104" s="36"/>
    </row>
    <row r="105" spans="2:32">
      <c r="S105" s="95" t="s">
        <v>88</v>
      </c>
      <c r="T105" s="95"/>
      <c r="U105" s="36">
        <f t="shared" ref="U105:AD106" si="28">U86+U93+U99</f>
        <v>-16087.605690511336</v>
      </c>
      <c r="V105" s="36">
        <f t="shared" si="28"/>
        <v>-24131.408535767026</v>
      </c>
      <c r="W105" s="36">
        <f t="shared" si="28"/>
        <v>-40219.014226278348</v>
      </c>
      <c r="X105" s="36">
        <f t="shared" si="28"/>
        <v>-64350.422762045346</v>
      </c>
      <c r="Y105" s="36">
        <f t="shared" si="28"/>
        <v>-96525.634143068106</v>
      </c>
      <c r="Z105" s="36">
        <f t="shared" si="28"/>
        <v>-128700.84552409069</v>
      </c>
      <c r="AA105" s="36">
        <f t="shared" si="28"/>
        <v>-202065.15903905523</v>
      </c>
      <c r="AB105" s="36">
        <f t="shared" si="28"/>
        <v>-262684.70675077196</v>
      </c>
      <c r="AC105" s="36">
        <f t="shared" si="28"/>
        <v>-367239.29673869279</v>
      </c>
      <c r="AD105" s="36">
        <f t="shared" si="28"/>
        <v>-459049.1209233664</v>
      </c>
      <c r="AE105" s="36"/>
      <c r="AF105" s="36"/>
    </row>
    <row r="106" spans="2:32">
      <c r="S106" s="95" t="s">
        <v>87</v>
      </c>
      <c r="T106" s="95"/>
      <c r="U106" s="36">
        <f t="shared" si="28"/>
        <v>-210766.67561401153</v>
      </c>
      <c r="V106" s="36">
        <f t="shared" si="28"/>
        <v>-316150.01342101733</v>
      </c>
      <c r="W106" s="36">
        <f t="shared" si="28"/>
        <v>-526916.68903502892</v>
      </c>
      <c r="X106" s="36">
        <f t="shared" si="28"/>
        <v>-843066.70245604613</v>
      </c>
      <c r="Y106" s="36">
        <f t="shared" si="28"/>
        <v>-1264600.0536840693</v>
      </c>
      <c r="Z106" s="36">
        <f t="shared" si="28"/>
        <v>-1686133.4049120923</v>
      </c>
      <c r="AA106" s="36">
        <f t="shared" si="28"/>
        <v>-2116391.7594953701</v>
      </c>
      <c r="AB106" s="36">
        <f t="shared" si="28"/>
        <v>-2751309.2873439807</v>
      </c>
      <c r="AC106" s="36">
        <f t="shared" si="28"/>
        <v>-3395533.485438196</v>
      </c>
      <c r="AD106" s="36">
        <f t="shared" si="28"/>
        <v>-4244416.8567977455</v>
      </c>
      <c r="AE106" s="36"/>
      <c r="AF106" s="36"/>
    </row>
    <row r="107" spans="2:32">
      <c r="S107" s="95" t="s">
        <v>41</v>
      </c>
      <c r="T107" s="95"/>
      <c r="U107" s="36">
        <f>U88</f>
        <v>126249.99999999999</v>
      </c>
      <c r="V107" s="36">
        <f t="shared" ref="V107:AD107" si="29">V88</f>
        <v>189375</v>
      </c>
      <c r="W107" s="36">
        <f t="shared" si="29"/>
        <v>315625</v>
      </c>
      <c r="X107" s="36">
        <f t="shared" si="29"/>
        <v>504999.99999999994</v>
      </c>
      <c r="Y107" s="36">
        <f t="shared" si="29"/>
        <v>757500</v>
      </c>
      <c r="Z107" s="36">
        <f t="shared" si="29"/>
        <v>1009999.9999999999</v>
      </c>
      <c r="AA107" s="36">
        <f t="shared" si="29"/>
        <v>1262500</v>
      </c>
      <c r="AB107" s="36">
        <f t="shared" si="29"/>
        <v>1641249.9999999998</v>
      </c>
      <c r="AC107" s="36">
        <f t="shared" si="29"/>
        <v>2019999.9999999998</v>
      </c>
      <c r="AD107" s="36">
        <f t="shared" si="29"/>
        <v>2525000</v>
      </c>
      <c r="AE107" s="36"/>
      <c r="AF107" s="36"/>
    </row>
    <row r="108" spans="2:32">
      <c r="S108" s="96" t="s">
        <v>97</v>
      </c>
      <c r="T108" s="96"/>
      <c r="U108" s="97">
        <f>SUM(U104:U107)</f>
        <v>427500</v>
      </c>
      <c r="V108" s="97">
        <f t="shared" ref="V108:AD108" si="30">SUM(V104:V107)</f>
        <v>641250</v>
      </c>
      <c r="W108" s="97">
        <f t="shared" si="30"/>
        <v>1068750.0000000002</v>
      </c>
      <c r="X108" s="97">
        <f t="shared" si="30"/>
        <v>1710000</v>
      </c>
      <c r="Y108" s="97">
        <f t="shared" si="30"/>
        <v>2565000</v>
      </c>
      <c r="Z108" s="97">
        <f t="shared" si="30"/>
        <v>3420000</v>
      </c>
      <c r="AA108" s="97">
        <f t="shared" si="30"/>
        <v>3944999.9999999991</v>
      </c>
      <c r="AB108" s="97">
        <f t="shared" si="30"/>
        <v>5128499.9999999991</v>
      </c>
      <c r="AC108" s="97">
        <f t="shared" si="30"/>
        <v>5960000.0000000009</v>
      </c>
      <c r="AD108" s="97">
        <f t="shared" si="30"/>
        <v>7449999.9999999981</v>
      </c>
      <c r="AE108" s="97"/>
      <c r="AF108" s="97"/>
    </row>
    <row r="110" spans="2:32">
      <c r="S110" s="3" t="s">
        <v>25</v>
      </c>
      <c r="T110" s="3"/>
    </row>
    <row r="111" spans="2:32">
      <c r="S111" s="95" t="s">
        <v>90</v>
      </c>
      <c r="T111" s="95"/>
      <c r="U111" s="33">
        <f t="shared" ref="U111:AD111" si="31">-U104*$D$35</f>
        <v>-396078.21097839216</v>
      </c>
      <c r="V111" s="33">
        <f t="shared" si="31"/>
        <v>-594117.3164675883</v>
      </c>
      <c r="W111" s="33">
        <f t="shared" si="31"/>
        <v>-990195.52744598058</v>
      </c>
      <c r="X111" s="33">
        <f t="shared" si="31"/>
        <v>-1584312.8439135686</v>
      </c>
      <c r="Y111" s="33">
        <f t="shared" si="31"/>
        <v>-2376469.2658703532</v>
      </c>
      <c r="Z111" s="33">
        <f t="shared" si="31"/>
        <v>-3168625.6878271373</v>
      </c>
      <c r="AA111" s="33">
        <f t="shared" si="31"/>
        <v>-3750717.6889008181</v>
      </c>
      <c r="AB111" s="33">
        <f t="shared" si="31"/>
        <v>-4875932.9955710638</v>
      </c>
      <c r="AC111" s="33">
        <f t="shared" si="31"/>
        <v>-5777079.5866326671</v>
      </c>
      <c r="AD111" s="33">
        <f t="shared" si="31"/>
        <v>-7221349.4832908325</v>
      </c>
    </row>
    <row r="112" spans="2:32">
      <c r="S112" s="95" t="s">
        <v>88</v>
      </c>
      <c r="T112" s="95"/>
      <c r="U112" s="33">
        <f t="shared" ref="U112:AD112" si="32">-U105*$F$35</f>
        <v>0</v>
      </c>
      <c r="V112" s="33">
        <f t="shared" si="32"/>
        <v>0</v>
      </c>
      <c r="W112" s="33">
        <f t="shared" si="32"/>
        <v>0</v>
      </c>
      <c r="X112" s="33">
        <f t="shared" si="32"/>
        <v>0</v>
      </c>
      <c r="Y112" s="33">
        <f t="shared" si="32"/>
        <v>0</v>
      </c>
      <c r="Z112" s="33">
        <f t="shared" si="32"/>
        <v>0</v>
      </c>
      <c r="AA112" s="33">
        <f t="shared" si="32"/>
        <v>0</v>
      </c>
      <c r="AB112" s="33">
        <f t="shared" si="32"/>
        <v>0</v>
      </c>
      <c r="AC112" s="33">
        <f t="shared" si="32"/>
        <v>0</v>
      </c>
      <c r="AD112" s="33">
        <f t="shared" si="32"/>
        <v>0</v>
      </c>
    </row>
    <row r="113" spans="19:32">
      <c r="S113" s="95" t="s">
        <v>87</v>
      </c>
      <c r="T113" s="95"/>
      <c r="U113" s="33">
        <f t="shared" ref="U113:AD113" si="33">-U70*$H$35</f>
        <v>-187500.00000000003</v>
      </c>
      <c r="V113" s="33">
        <f t="shared" si="33"/>
        <v>-281250.00000000006</v>
      </c>
      <c r="W113" s="33">
        <f t="shared" si="33"/>
        <v>-468750.00000000006</v>
      </c>
      <c r="X113" s="33">
        <f t="shared" si="33"/>
        <v>-750000.00000000012</v>
      </c>
      <c r="Y113" s="33">
        <f t="shared" si="33"/>
        <v>-1125000.0000000002</v>
      </c>
      <c r="Z113" s="33">
        <f t="shared" si="33"/>
        <v>-1500000.0000000002</v>
      </c>
      <c r="AA113" s="33">
        <f t="shared" si="33"/>
        <v>-1875000.0000000002</v>
      </c>
      <c r="AB113" s="33">
        <f t="shared" si="33"/>
        <v>-2437500.0000000005</v>
      </c>
      <c r="AC113" s="33">
        <f t="shared" si="33"/>
        <v>-3000000.0000000005</v>
      </c>
      <c r="AD113" s="33">
        <f t="shared" si="33"/>
        <v>-3750000.0000000005</v>
      </c>
    </row>
    <row r="114" spans="19:32">
      <c r="S114" s="95" t="s">
        <v>41</v>
      </c>
      <c r="T114" s="95"/>
      <c r="U114" s="143">
        <f t="shared" ref="U114:AD114" si="34">$P$40</f>
        <v>-3000000</v>
      </c>
      <c r="V114" s="33">
        <f t="shared" si="34"/>
        <v>-3000000</v>
      </c>
      <c r="W114" s="33">
        <f t="shared" si="34"/>
        <v>-3000000</v>
      </c>
      <c r="X114" s="33">
        <f t="shared" si="34"/>
        <v>-3000000</v>
      </c>
      <c r="Y114" s="33">
        <f t="shared" si="34"/>
        <v>-3000000</v>
      </c>
      <c r="Z114" s="33">
        <f t="shared" si="34"/>
        <v>-3000000</v>
      </c>
      <c r="AA114" s="33">
        <f t="shared" si="34"/>
        <v>-3000000</v>
      </c>
      <c r="AB114" s="33">
        <f t="shared" si="34"/>
        <v>-3000000</v>
      </c>
      <c r="AC114" s="33">
        <f t="shared" si="34"/>
        <v>-3000000</v>
      </c>
      <c r="AD114" s="33">
        <f t="shared" si="34"/>
        <v>-3000000</v>
      </c>
    </row>
    <row r="115" spans="19:32">
      <c r="S115" s="95" t="s">
        <v>98</v>
      </c>
      <c r="T115" s="117">
        <f>'Model-1-Low'!T115*1.5</f>
        <v>-7500000</v>
      </c>
      <c r="U115" s="33">
        <v>0</v>
      </c>
      <c r="V115" s="33">
        <v>0</v>
      </c>
      <c r="W115" s="33">
        <v>0</v>
      </c>
      <c r="X115" s="33">
        <v>0</v>
      </c>
      <c r="Y115" s="33">
        <v>0</v>
      </c>
      <c r="Z115" s="33">
        <v>0</v>
      </c>
      <c r="AA115" s="33">
        <v>0</v>
      </c>
      <c r="AB115" s="33">
        <v>0</v>
      </c>
      <c r="AC115" s="33">
        <v>0</v>
      </c>
      <c r="AD115" s="33">
        <v>0</v>
      </c>
    </row>
    <row r="116" spans="19:32">
      <c r="S116" s="96" t="s">
        <v>100</v>
      </c>
      <c r="T116" s="98">
        <f>SUM(T111:T115)</f>
        <v>-7500000</v>
      </c>
      <c r="U116" s="98">
        <f>SUM(U111:U115)</f>
        <v>-3583578.210978392</v>
      </c>
      <c r="V116" s="98">
        <f t="shared" ref="V116:AD116" si="35">SUM(V111:V115)</f>
        <v>-3875367.3164675883</v>
      </c>
      <c r="W116" s="98">
        <f t="shared" si="35"/>
        <v>-4458945.5274459803</v>
      </c>
      <c r="X116" s="98">
        <f t="shared" si="35"/>
        <v>-5334312.8439135682</v>
      </c>
      <c r="Y116" s="98">
        <f t="shared" si="35"/>
        <v>-6501469.2658703532</v>
      </c>
      <c r="Z116" s="98">
        <f t="shared" si="35"/>
        <v>-7668625.6878271373</v>
      </c>
      <c r="AA116" s="98">
        <f t="shared" si="35"/>
        <v>-8625717.6889008172</v>
      </c>
      <c r="AB116" s="98">
        <f t="shared" si="35"/>
        <v>-10313432.995571064</v>
      </c>
      <c r="AC116" s="98">
        <f t="shared" si="35"/>
        <v>-11777079.586632667</v>
      </c>
      <c r="AD116" s="98">
        <f t="shared" si="35"/>
        <v>-13971349.483290832</v>
      </c>
      <c r="AE116" s="97"/>
      <c r="AF116" s="97"/>
    </row>
    <row r="118" spans="19:32">
      <c r="S118" s="99" t="s">
        <v>29</v>
      </c>
      <c r="T118" s="100">
        <f>T108+T116</f>
        <v>-7500000</v>
      </c>
      <c r="U118" s="100">
        <f>U108+U116</f>
        <v>-3156078.210978392</v>
      </c>
      <c r="V118" s="100">
        <f t="shared" ref="V118:AD118" si="36">V108+V116</f>
        <v>-3234117.3164675883</v>
      </c>
      <c r="W118" s="100">
        <f t="shared" si="36"/>
        <v>-3390195.5274459803</v>
      </c>
      <c r="X118" s="100">
        <f t="shared" si="36"/>
        <v>-3624312.8439135682</v>
      </c>
      <c r="Y118" s="100">
        <f t="shared" si="36"/>
        <v>-3936469.2658703532</v>
      </c>
      <c r="Z118" s="100">
        <f t="shared" si="36"/>
        <v>-4248625.6878271373</v>
      </c>
      <c r="AA118" s="100">
        <f t="shared" si="36"/>
        <v>-4680717.6889008181</v>
      </c>
      <c r="AB118" s="100">
        <f t="shared" si="36"/>
        <v>-5184932.9955710648</v>
      </c>
      <c r="AC118" s="100">
        <f t="shared" si="36"/>
        <v>-5817079.5866326662</v>
      </c>
      <c r="AD118" s="100">
        <f t="shared" si="36"/>
        <v>-6521349.4832908344</v>
      </c>
      <c r="AF118" s="47">
        <f>SUM(T118:AD118)</f>
        <v>-51293878.606898405</v>
      </c>
    </row>
    <row r="119" spans="19:32">
      <c r="AF119">
        <f>SUM(T119:AD119)</f>
        <v>0</v>
      </c>
    </row>
  </sheetData>
  <pageMargins left="0.25" right="0.25" top="0.75" bottom="0.75" header="0.3" footer="0.3"/>
  <pageSetup scale="51" orientation="landscape" horizontalDpi="4294967292" verticalDpi="4294967292" r:id="rId1"/>
  <rowBreaks count="1" manualBreakCount="1">
    <brk id="56" max="31" man="1"/>
  </rowBreaks>
  <colBreaks count="1" manualBreakCount="1">
    <brk id="17" max="118" man="1"/>
  </colBreaks>
  <ignoredErrors>
    <ignoredError sqref="P8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60AEE-AF3F-4D79-96A9-6B25BE6CAC4E}">
  <sheetPr>
    <tabColor rgb="FF7030A0"/>
  </sheetPr>
  <dimension ref="A1:W74"/>
  <sheetViews>
    <sheetView view="pageBreakPreview" topLeftCell="A63" zoomScale="85" zoomScaleNormal="85" zoomScaleSheetLayoutView="85" workbookViewId="0">
      <selection activeCell="N76" sqref="N76"/>
    </sheetView>
  </sheetViews>
  <sheetFormatPr defaultColWidth="11" defaultRowHeight="15.75" outlineLevelCol="1"/>
  <cols>
    <col min="2" max="2" width="9.125" customWidth="1" outlineLevel="1"/>
    <col min="3" max="5" width="11" customWidth="1" outlineLevel="1"/>
    <col min="9" max="9" width="12.125" bestFit="1" customWidth="1"/>
    <col min="10" max="11" width="12.125" customWidth="1"/>
    <col min="12" max="12" width="12.125" style="36" customWidth="1"/>
    <col min="13" max="19" width="12.125" customWidth="1"/>
    <col min="20" max="20" width="12.125" style="33" customWidth="1"/>
    <col min="21" max="23" width="11" customWidth="1" outlineLevel="1"/>
  </cols>
  <sheetData>
    <row r="1" spans="1:22" ht="18.75">
      <c r="A1" s="145" t="s">
        <v>253</v>
      </c>
    </row>
    <row r="3" spans="1:22">
      <c r="A3" t="s">
        <v>149</v>
      </c>
      <c r="B3" s="236">
        <v>0.05</v>
      </c>
      <c r="D3" s="69"/>
      <c r="E3" s="237"/>
    </row>
    <row r="4" spans="1:22" ht="18.75">
      <c r="F4" s="145"/>
      <c r="L4"/>
      <c r="T4"/>
    </row>
    <row r="5" spans="1:22">
      <c r="F5" s="4" t="s">
        <v>146</v>
      </c>
      <c r="L5" s="4" t="s">
        <v>147</v>
      </c>
      <c r="R5" s="4" t="s">
        <v>145</v>
      </c>
      <c r="T5"/>
    </row>
    <row r="6" spans="1:22">
      <c r="F6" s="8"/>
      <c r="L6" s="8"/>
      <c r="R6" s="8"/>
      <c r="T6" s="8"/>
    </row>
    <row r="7" spans="1:22">
      <c r="D7" s="32" t="s">
        <v>140</v>
      </c>
      <c r="F7" t="s">
        <v>2</v>
      </c>
      <c r="G7" t="s">
        <v>139</v>
      </c>
      <c r="H7" t="s">
        <v>132</v>
      </c>
      <c r="I7" t="s">
        <v>58</v>
      </c>
      <c r="J7" t="s">
        <v>144</v>
      </c>
      <c r="L7" t="s">
        <v>2</v>
      </c>
      <c r="M7" t="s">
        <v>139</v>
      </c>
      <c r="N7" t="s">
        <v>132</v>
      </c>
      <c r="O7" t="s">
        <v>58</v>
      </c>
      <c r="P7" t="s">
        <v>144</v>
      </c>
      <c r="R7" t="s">
        <v>2</v>
      </c>
      <c r="S7" t="s">
        <v>139</v>
      </c>
      <c r="T7" t="s">
        <v>132</v>
      </c>
      <c r="U7" t="s">
        <v>58</v>
      </c>
      <c r="V7" t="s">
        <v>144</v>
      </c>
    </row>
    <row r="8" spans="1:22" s="33" customFormat="1">
      <c r="D8" s="33">
        <v>1</v>
      </c>
      <c r="F8" s="33">
        <f>TRANSPOSE('Model-2-Low'!$U$75)/1000000</f>
        <v>55</v>
      </c>
      <c r="G8" s="33">
        <f>TRANSPOSE('Model-2-Low'!$U$71)/1000000</f>
        <v>50</v>
      </c>
      <c r="H8" s="33">
        <f>TRANSPOSE('Model-2-Low'!$U$109)/1000000</f>
        <v>2.1349999999999998</v>
      </c>
      <c r="I8" s="33">
        <f>'Model-2-Low'!$U$118/1000000*-1</f>
        <v>50.286999999999999</v>
      </c>
      <c r="J8" s="33">
        <f>H8-I8</f>
        <v>-48.152000000000001</v>
      </c>
      <c r="L8" s="33">
        <f>TRANSPOSE('Model-2-High'!$U$75)/1000000</f>
        <v>55</v>
      </c>
      <c r="M8" s="33">
        <f>TRANSPOSE('Model-2-High'!$U$71)/1000000</f>
        <v>50</v>
      </c>
      <c r="N8" s="33">
        <f>TRANSPOSE('Model-2-High'!$U$109)/1000000</f>
        <v>2.0099999999999998</v>
      </c>
      <c r="O8" s="33">
        <f>'Model-2-High'!$U$118/1000000*-1</f>
        <v>75.393000000000001</v>
      </c>
      <c r="P8" s="33">
        <f>N8-O8</f>
        <v>-73.382999999999996</v>
      </c>
      <c r="R8" s="33">
        <f t="shared" ref="R8:R17" si="0">AVERAGE(F8,L8)</f>
        <v>55</v>
      </c>
      <c r="S8" s="33">
        <f t="shared" ref="S8:S17" si="1">AVERAGE(G8,M8)</f>
        <v>50</v>
      </c>
      <c r="T8" s="33">
        <f t="shared" ref="T8:T17" si="2">AVERAGE(H8,N8)</f>
        <v>2.0724999999999998</v>
      </c>
      <c r="U8" s="33">
        <f t="shared" ref="U8:U17" si="3">AVERAGE(I8,O8)</f>
        <v>62.84</v>
      </c>
      <c r="V8" s="33">
        <f>T8-U8</f>
        <v>-60.767500000000005</v>
      </c>
    </row>
    <row r="9" spans="1:22" s="33" customFormat="1">
      <c r="D9" s="33">
        <f>1+D8</f>
        <v>2</v>
      </c>
      <c r="F9" s="33">
        <f>'Model-2-Low'!$V$75/1000000</f>
        <v>82.5</v>
      </c>
      <c r="G9" s="33">
        <f>'Model-2-Low'!$V$71/1000000</f>
        <v>75</v>
      </c>
      <c r="H9" s="33">
        <f>'Model-2-Low'!$V$109/1000000</f>
        <v>2.9024999999999999</v>
      </c>
      <c r="I9" s="33">
        <f>'Model-2-Low'!$V$118/1000000*-1</f>
        <v>50.430500000000002</v>
      </c>
      <c r="J9" s="33">
        <f t="shared" ref="J9:J17" si="4">H9-I9</f>
        <v>-47.528000000000006</v>
      </c>
      <c r="L9" s="33">
        <f>'Model-2-High'!$V$75/1000000</f>
        <v>82.5</v>
      </c>
      <c r="M9" s="33">
        <f>'Model-2-High'!$V$71/1000000</f>
        <v>75</v>
      </c>
      <c r="N9" s="33">
        <f>'Model-2-High'!$V$109/1000000</f>
        <v>2.7149999999999999</v>
      </c>
      <c r="O9" s="33">
        <f>'Model-2-High'!$V$118/1000000*-1</f>
        <v>75.589500000000001</v>
      </c>
      <c r="P9" s="33">
        <f t="shared" ref="P9:P17" si="5">N9-O9</f>
        <v>-72.874499999999998</v>
      </c>
      <c r="R9" s="33">
        <f t="shared" si="0"/>
        <v>82.5</v>
      </c>
      <c r="S9" s="33">
        <f t="shared" si="1"/>
        <v>75</v>
      </c>
      <c r="T9" s="33">
        <f t="shared" si="2"/>
        <v>2.8087499999999999</v>
      </c>
      <c r="U9" s="33">
        <f t="shared" si="3"/>
        <v>63.010000000000005</v>
      </c>
      <c r="V9" s="33">
        <f t="shared" ref="V9:V17" si="6">T9-U9</f>
        <v>-60.201250000000002</v>
      </c>
    </row>
    <row r="10" spans="1:22" s="33" customFormat="1">
      <c r="D10" s="33">
        <f t="shared" ref="D10:D67" si="7">1+D9</f>
        <v>3</v>
      </c>
      <c r="F10" s="33">
        <f>'Model-2-Low'!$W$75/1000000</f>
        <v>137.5</v>
      </c>
      <c r="G10" s="33">
        <f>'Model-2-Low'!$W$71/1000000</f>
        <v>125</v>
      </c>
      <c r="H10" s="33">
        <f>'Model-2-Low'!$W$109/1000000</f>
        <v>4.4375</v>
      </c>
      <c r="I10" s="33">
        <f>'Model-2-Low'!$W$118/1000000*-1</f>
        <v>50.717500000000001</v>
      </c>
      <c r="J10" s="33">
        <f t="shared" si="4"/>
        <v>-46.28</v>
      </c>
      <c r="L10" s="33">
        <f>'Model-2-High'!$W$75/1000000</f>
        <v>137.5</v>
      </c>
      <c r="M10" s="33">
        <f>'Model-2-High'!$W$71/1000000</f>
        <v>125</v>
      </c>
      <c r="N10" s="33">
        <f>'Model-2-High'!$W$109/1000000</f>
        <v>4.125</v>
      </c>
      <c r="O10" s="33">
        <f>'Model-2-High'!$W$118/1000000*-1</f>
        <v>75.982500000000002</v>
      </c>
      <c r="P10" s="33">
        <f t="shared" si="5"/>
        <v>-71.857500000000002</v>
      </c>
      <c r="R10" s="33">
        <f t="shared" si="0"/>
        <v>137.5</v>
      </c>
      <c r="S10" s="33">
        <f t="shared" si="1"/>
        <v>125</v>
      </c>
      <c r="T10" s="33">
        <f t="shared" si="2"/>
        <v>4.28125</v>
      </c>
      <c r="U10" s="33">
        <f t="shared" si="3"/>
        <v>63.35</v>
      </c>
      <c r="V10" s="33">
        <f t="shared" si="6"/>
        <v>-59.068750000000001</v>
      </c>
    </row>
    <row r="11" spans="1:22" s="33" customFormat="1">
      <c r="D11" s="33">
        <f t="shared" si="7"/>
        <v>4</v>
      </c>
      <c r="F11" s="33">
        <f>'Model-2-Low'!$X$75/1000000</f>
        <v>220</v>
      </c>
      <c r="G11" s="33">
        <f>'Model-2-Low'!$X$71/1000000</f>
        <v>200</v>
      </c>
      <c r="H11" s="33">
        <f>'Model-2-Low'!$X$109/1000000</f>
        <v>6.74</v>
      </c>
      <c r="I11" s="33">
        <f>'Model-2-Low'!$X$118/1000000*-1</f>
        <v>51.148000000000003</v>
      </c>
      <c r="J11" s="33">
        <f t="shared" si="4"/>
        <v>-44.408000000000001</v>
      </c>
      <c r="L11" s="33">
        <f>'Model-2-High'!$X$75/1000000</f>
        <v>220</v>
      </c>
      <c r="M11" s="33">
        <f>'Model-2-High'!$X$71/1000000</f>
        <v>200</v>
      </c>
      <c r="N11" s="33">
        <f>'Model-2-High'!$X$109/1000000</f>
        <v>6.24</v>
      </c>
      <c r="O11" s="33">
        <f>'Model-2-High'!$X$118/1000000*-1</f>
        <v>76.572000000000003</v>
      </c>
      <c r="P11" s="33">
        <f t="shared" si="5"/>
        <v>-70.332000000000008</v>
      </c>
      <c r="R11" s="33">
        <f t="shared" si="0"/>
        <v>220</v>
      </c>
      <c r="S11" s="33">
        <f t="shared" si="1"/>
        <v>200</v>
      </c>
      <c r="T11" s="33">
        <f t="shared" si="2"/>
        <v>6.49</v>
      </c>
      <c r="U11" s="33">
        <f t="shared" si="3"/>
        <v>63.86</v>
      </c>
      <c r="V11" s="33">
        <f t="shared" si="6"/>
        <v>-57.37</v>
      </c>
    </row>
    <row r="12" spans="1:22" s="33" customFormat="1">
      <c r="D12" s="33">
        <f t="shared" si="7"/>
        <v>5</v>
      </c>
      <c r="F12" s="33">
        <f>'Model-2-Low'!$Y$75/1000000</f>
        <v>330</v>
      </c>
      <c r="G12" s="33">
        <f>'Model-2-Low'!$Y$71/1000000</f>
        <v>300</v>
      </c>
      <c r="H12" s="33">
        <f>'Model-2-Low'!$Y$109/1000000</f>
        <v>9.81</v>
      </c>
      <c r="I12" s="33">
        <f>'Model-2-Low'!$Y$118/1000000*-1</f>
        <v>51.722000000000001</v>
      </c>
      <c r="J12" s="33">
        <f t="shared" si="4"/>
        <v>-41.911999999999999</v>
      </c>
      <c r="L12" s="33">
        <f>'Model-2-High'!$Y$75/1000000</f>
        <v>330</v>
      </c>
      <c r="M12" s="33">
        <f>'Model-2-High'!$Y$71/1000000</f>
        <v>300</v>
      </c>
      <c r="N12" s="33">
        <f>'Model-2-High'!$Y$109/1000000</f>
        <v>9.06</v>
      </c>
      <c r="O12" s="33">
        <f>'Model-2-High'!$Y$118/1000000*-1</f>
        <v>77.358000000000004</v>
      </c>
      <c r="P12" s="33">
        <f t="shared" si="5"/>
        <v>-68.298000000000002</v>
      </c>
      <c r="R12" s="33">
        <f t="shared" si="0"/>
        <v>330</v>
      </c>
      <c r="S12" s="33">
        <f t="shared" si="1"/>
        <v>300</v>
      </c>
      <c r="T12" s="33">
        <f t="shared" si="2"/>
        <v>9.4350000000000005</v>
      </c>
      <c r="U12" s="33">
        <f t="shared" si="3"/>
        <v>64.540000000000006</v>
      </c>
      <c r="V12" s="33">
        <f t="shared" si="6"/>
        <v>-55.105000000000004</v>
      </c>
    </row>
    <row r="13" spans="1:22" s="33" customFormat="1">
      <c r="D13" s="33">
        <f t="shared" si="7"/>
        <v>6</v>
      </c>
      <c r="F13" s="33">
        <f>'Model-2-Low'!$Z$75/1000000</f>
        <v>440</v>
      </c>
      <c r="G13" s="33">
        <f>'Model-2-Low'!$Z$71/1000000</f>
        <v>400</v>
      </c>
      <c r="H13" s="33">
        <f>'Model-2-Low'!$Z$109/1000000</f>
        <v>12.88</v>
      </c>
      <c r="I13" s="33">
        <f>'Model-2-Low'!$Z$118/1000000*-1</f>
        <v>52.295999999999999</v>
      </c>
      <c r="J13" s="33">
        <f t="shared" si="4"/>
        <v>-39.415999999999997</v>
      </c>
      <c r="L13" s="33">
        <f>'Model-2-High'!$Z$75/1000000</f>
        <v>440</v>
      </c>
      <c r="M13" s="33">
        <f>'Model-2-High'!$Z$71/1000000</f>
        <v>400</v>
      </c>
      <c r="N13" s="33">
        <f>'Model-2-High'!$Z$109/1000000</f>
        <v>11.88</v>
      </c>
      <c r="O13" s="33">
        <f>'Model-2-High'!$Z$118/1000000*-1</f>
        <v>78.144000000000005</v>
      </c>
      <c r="P13" s="33">
        <f t="shared" si="5"/>
        <v>-66.26400000000001</v>
      </c>
      <c r="R13" s="33">
        <f t="shared" si="0"/>
        <v>440</v>
      </c>
      <c r="S13" s="33">
        <f t="shared" si="1"/>
        <v>400</v>
      </c>
      <c r="T13" s="33">
        <f t="shared" si="2"/>
        <v>12.38</v>
      </c>
      <c r="U13" s="33">
        <f t="shared" si="3"/>
        <v>65.22</v>
      </c>
      <c r="V13" s="33">
        <f t="shared" si="6"/>
        <v>-52.839999999999996</v>
      </c>
    </row>
    <row r="14" spans="1:22" s="33" customFormat="1">
      <c r="D14" s="33">
        <f t="shared" si="7"/>
        <v>7</v>
      </c>
      <c r="F14" s="33">
        <f>'Model-2-Low'!$AA$75/1000000</f>
        <v>550</v>
      </c>
      <c r="G14" s="33">
        <f>'Model-2-Low'!$AA$71/1000000</f>
        <v>500</v>
      </c>
      <c r="H14" s="33">
        <f>'Model-2-Low'!$AA$109/1000000</f>
        <v>15.785</v>
      </c>
      <c r="I14" s="33">
        <f>'Model-2-Low'!$AA$118/1000000*-1</f>
        <v>52.837000000000003</v>
      </c>
      <c r="J14" s="33">
        <f t="shared" si="4"/>
        <v>-37.052000000000007</v>
      </c>
      <c r="L14" s="33">
        <f>'Model-2-High'!$AA$75/1000000</f>
        <v>550</v>
      </c>
      <c r="M14" s="33">
        <f>'Model-2-High'!$AA$71/1000000</f>
        <v>500</v>
      </c>
      <c r="N14" s="33">
        <f>'Model-2-High'!$AA$109/1000000</f>
        <v>14.535</v>
      </c>
      <c r="O14" s="33">
        <f>'Model-2-High'!$AA$118/1000000*-1</f>
        <v>78.880499999999998</v>
      </c>
      <c r="P14" s="33">
        <f t="shared" si="5"/>
        <v>-64.345500000000001</v>
      </c>
      <c r="R14" s="33">
        <f t="shared" si="0"/>
        <v>550</v>
      </c>
      <c r="S14" s="33">
        <f t="shared" si="1"/>
        <v>500</v>
      </c>
      <c r="T14" s="33">
        <f t="shared" si="2"/>
        <v>15.16</v>
      </c>
      <c r="U14" s="33">
        <f t="shared" si="3"/>
        <v>65.858750000000001</v>
      </c>
      <c r="V14" s="33">
        <f t="shared" si="6"/>
        <v>-50.698750000000004</v>
      </c>
    </row>
    <row r="15" spans="1:22" s="33" customFormat="1">
      <c r="D15" s="33">
        <f t="shared" si="7"/>
        <v>8</v>
      </c>
      <c r="F15" s="33">
        <f>'Model-2-Low'!$AB$75/1000000</f>
        <v>715</v>
      </c>
      <c r="G15" s="33">
        <f>'Model-2-Low'!$AB$71/1000000</f>
        <v>650</v>
      </c>
      <c r="H15" s="33">
        <f>'Model-2-Low'!$AB$109/1000000</f>
        <v>20.340499999999999</v>
      </c>
      <c r="I15" s="33">
        <f>'Model-2-Low'!$AB$118/1000000*-1</f>
        <v>53.688099999999999</v>
      </c>
      <c r="J15" s="33">
        <f t="shared" si="4"/>
        <v>-33.3476</v>
      </c>
      <c r="L15" s="33">
        <f>'Model-2-High'!$AB$75/1000000</f>
        <v>715</v>
      </c>
      <c r="M15" s="33">
        <f>'Model-2-High'!$AB$71/1000000</f>
        <v>650</v>
      </c>
      <c r="N15" s="33">
        <f>'Model-2-High'!$AB$109/1000000</f>
        <v>18.715499999999999</v>
      </c>
      <c r="O15" s="33">
        <f>'Model-2-High'!$AB$118/1000000*-1</f>
        <v>80.044650000000004</v>
      </c>
      <c r="P15" s="33">
        <f t="shared" si="5"/>
        <v>-61.329150000000006</v>
      </c>
      <c r="R15" s="33">
        <f t="shared" si="0"/>
        <v>715</v>
      </c>
      <c r="S15" s="33">
        <f t="shared" si="1"/>
        <v>650</v>
      </c>
      <c r="T15" s="33">
        <f t="shared" si="2"/>
        <v>19.527999999999999</v>
      </c>
      <c r="U15" s="33">
        <f t="shared" si="3"/>
        <v>66.866375000000005</v>
      </c>
      <c r="V15" s="33">
        <f t="shared" si="6"/>
        <v>-47.338375000000006</v>
      </c>
    </row>
    <row r="16" spans="1:22" s="33" customFormat="1">
      <c r="D16" s="33">
        <f t="shared" si="7"/>
        <v>9</v>
      </c>
      <c r="F16" s="33">
        <f>'Model-2-Low'!$AC$75/1000000</f>
        <v>880</v>
      </c>
      <c r="G16" s="33">
        <f>'Model-2-Low'!$AC$71/1000000</f>
        <v>800</v>
      </c>
      <c r="H16" s="33">
        <f>'Model-2-Low'!$AC$109/1000000</f>
        <v>24.72</v>
      </c>
      <c r="I16" s="33">
        <f>'Model-2-Low'!$AC$118/1000000*-1</f>
        <v>54.503999999999998</v>
      </c>
      <c r="J16" s="33">
        <f t="shared" si="4"/>
        <v>-29.783999999999999</v>
      </c>
      <c r="L16" s="33">
        <f>'Model-2-High'!$AC$75/1000000</f>
        <v>880</v>
      </c>
      <c r="M16" s="33">
        <f>'Model-2-High'!$AC$71/1000000</f>
        <v>800</v>
      </c>
      <c r="N16" s="33">
        <f>'Model-2-High'!$AC$109/1000000</f>
        <v>22.72</v>
      </c>
      <c r="O16" s="33">
        <f>'Model-2-High'!$AC$118/1000000*-1</f>
        <v>81.156000000000006</v>
      </c>
      <c r="P16" s="33">
        <f t="shared" si="5"/>
        <v>-58.436000000000007</v>
      </c>
      <c r="R16" s="33">
        <f t="shared" si="0"/>
        <v>880</v>
      </c>
      <c r="S16" s="33">
        <f t="shared" si="1"/>
        <v>800</v>
      </c>
      <c r="T16" s="33">
        <f t="shared" si="2"/>
        <v>23.72</v>
      </c>
      <c r="U16" s="33">
        <f t="shared" si="3"/>
        <v>67.83</v>
      </c>
      <c r="V16" s="33">
        <f t="shared" si="6"/>
        <v>-44.11</v>
      </c>
    </row>
    <row r="17" spans="2:23" s="33" customFormat="1">
      <c r="D17" s="33">
        <f t="shared" si="7"/>
        <v>10</v>
      </c>
      <c r="F17" s="33">
        <f>'Model-2-Low'!$AD$75/1000000</f>
        <v>1100</v>
      </c>
      <c r="G17" s="33">
        <f>'Model-2-Low'!$AD$71/1000000</f>
        <v>1000</v>
      </c>
      <c r="H17" s="33">
        <f>'Model-2-Low'!$AD$109/1000000</f>
        <v>30.75</v>
      </c>
      <c r="I17" s="33">
        <f>'Model-2-Low'!$AD$118/1000000*-1</f>
        <v>55.63</v>
      </c>
      <c r="J17" s="33">
        <f t="shared" si="4"/>
        <v>-24.880000000000003</v>
      </c>
      <c r="L17" s="33">
        <f>'Model-2-High'!$AD$75/1000000</f>
        <v>1100</v>
      </c>
      <c r="M17" s="33">
        <f>'Model-2-High'!$AD$71/1000000</f>
        <v>1000</v>
      </c>
      <c r="N17" s="33">
        <f>'Model-2-High'!$AD$109/1000000</f>
        <v>28.25</v>
      </c>
      <c r="O17" s="33">
        <f>'Model-2-High'!$AD$118/1000000*-1</f>
        <v>82.694999999999993</v>
      </c>
      <c r="P17" s="33">
        <f t="shared" si="5"/>
        <v>-54.444999999999993</v>
      </c>
      <c r="R17" s="33">
        <f t="shared" si="0"/>
        <v>1100</v>
      </c>
      <c r="S17" s="33">
        <f t="shared" si="1"/>
        <v>1000</v>
      </c>
      <c r="T17" s="33">
        <f t="shared" si="2"/>
        <v>29.5</v>
      </c>
      <c r="U17" s="33">
        <f t="shared" si="3"/>
        <v>69.162499999999994</v>
      </c>
      <c r="V17" s="33">
        <f t="shared" si="6"/>
        <v>-39.662499999999994</v>
      </c>
    </row>
    <row r="18" spans="2:23">
      <c r="B18" s="33"/>
      <c r="C18" s="33"/>
      <c r="D18">
        <f t="shared" si="7"/>
        <v>11</v>
      </c>
      <c r="F18" s="33">
        <f t="shared" ref="F18:F49" si="8">F17*(1+$B$3)</f>
        <v>1155</v>
      </c>
      <c r="G18" s="33">
        <f t="shared" ref="G18:G49" si="9">G17*(1+$B$3)</f>
        <v>1050</v>
      </c>
      <c r="H18" s="33">
        <f t="shared" ref="H18:H49" si="10">G18*$B$70+$B$74</f>
        <v>32.2575</v>
      </c>
      <c r="I18" s="33">
        <f t="shared" ref="I18:I49" si="11">-(G18*$C$70+$D$70+$E$70)</f>
        <v>55.911499999999997</v>
      </c>
      <c r="J18" s="33">
        <f>H18-I18</f>
        <v>-23.653999999999996</v>
      </c>
      <c r="K18" s="33"/>
      <c r="L18" s="33">
        <f t="shared" ref="L18:L49" si="12">L17*(1+$B$3)</f>
        <v>1155</v>
      </c>
      <c r="M18" s="33">
        <f t="shared" ref="M18:M49" si="13">M17*(1+$B$3)</f>
        <v>1050</v>
      </c>
      <c r="N18" s="33">
        <f>M18*$B$71+$B$74</f>
        <v>29.632500000000004</v>
      </c>
      <c r="O18" s="33">
        <f>-(M18*$C$71+$D$71+$E$71)</f>
        <v>83.079750000000004</v>
      </c>
      <c r="P18" s="33">
        <f>N18-O18</f>
        <v>-53.447249999999997</v>
      </c>
      <c r="Q18" s="33"/>
      <c r="R18" s="33">
        <f t="shared" ref="R18:R49" si="14">AVERAGE(F18,L18)</f>
        <v>1155</v>
      </c>
      <c r="S18" s="33">
        <f t="shared" ref="S18:S49" si="15">AVERAGE(G18,M18)</f>
        <v>1050</v>
      </c>
      <c r="T18" s="33">
        <f t="shared" ref="T18:T49" si="16">AVERAGE(H18,N18)</f>
        <v>30.945</v>
      </c>
      <c r="U18" s="33">
        <f t="shared" ref="U18:U67" si="17">AVERAGE(I18,O18)</f>
        <v>69.495625000000004</v>
      </c>
      <c r="V18" s="33">
        <f>T18-U18</f>
        <v>-38.550625000000004</v>
      </c>
      <c r="W18" s="33"/>
    </row>
    <row r="19" spans="2:23">
      <c r="B19" s="33"/>
      <c r="C19" s="33"/>
      <c r="D19">
        <f t="shared" si="7"/>
        <v>12</v>
      </c>
      <c r="F19" s="33">
        <f t="shared" si="8"/>
        <v>1212.75</v>
      </c>
      <c r="G19" s="33">
        <f t="shared" si="9"/>
        <v>1102.5</v>
      </c>
      <c r="H19" s="33">
        <f t="shared" si="10"/>
        <v>33.840375000000002</v>
      </c>
      <c r="I19" s="33">
        <f t="shared" si="11"/>
        <v>56.207075000000003</v>
      </c>
      <c r="J19" s="33">
        <f t="shared" ref="J19:J67" si="18">H19-I19</f>
        <v>-22.366700000000002</v>
      </c>
      <c r="K19" s="33"/>
      <c r="L19" s="33">
        <f t="shared" si="12"/>
        <v>1212.75</v>
      </c>
      <c r="M19" s="33">
        <f t="shared" si="13"/>
        <v>1102.5</v>
      </c>
      <c r="N19" s="33">
        <f t="shared" ref="N19:N67" si="19">M19*$B$71+$B$74</f>
        <v>31.084125000000004</v>
      </c>
      <c r="O19" s="33">
        <f t="shared" ref="O19:O67" si="20">-(M19*$C$71+$D$71+$E$71)</f>
        <v>83.483737500000004</v>
      </c>
      <c r="P19" s="33">
        <f t="shared" ref="P19:P67" si="21">N19-O19</f>
        <v>-52.399612500000003</v>
      </c>
      <c r="Q19" s="33"/>
      <c r="R19" s="33">
        <f t="shared" si="14"/>
        <v>1212.75</v>
      </c>
      <c r="S19" s="33">
        <f t="shared" si="15"/>
        <v>1102.5</v>
      </c>
      <c r="T19" s="33">
        <f t="shared" si="16"/>
        <v>32.462250000000004</v>
      </c>
      <c r="U19" s="33">
        <f t="shared" si="17"/>
        <v>69.845406249999996</v>
      </c>
      <c r="V19" s="33">
        <f t="shared" ref="V19:V44" si="22">T19-U19</f>
        <v>-37.383156249999992</v>
      </c>
      <c r="W19" s="33"/>
    </row>
    <row r="20" spans="2:23">
      <c r="B20" s="33"/>
      <c r="C20" s="33"/>
      <c r="D20">
        <f t="shared" si="7"/>
        <v>13</v>
      </c>
      <c r="F20" s="33">
        <f t="shared" si="8"/>
        <v>1273.3875</v>
      </c>
      <c r="G20" s="33">
        <f t="shared" si="9"/>
        <v>1157.625</v>
      </c>
      <c r="H20" s="33">
        <f t="shared" si="10"/>
        <v>35.502393750000003</v>
      </c>
      <c r="I20" s="33">
        <f t="shared" si="11"/>
        <v>56.517428750000001</v>
      </c>
      <c r="J20" s="33">
        <f t="shared" si="18"/>
        <v>-21.015034999999997</v>
      </c>
      <c r="K20" s="33"/>
      <c r="L20" s="33">
        <f t="shared" si="12"/>
        <v>1273.3875</v>
      </c>
      <c r="M20" s="33">
        <f t="shared" si="13"/>
        <v>1157.625</v>
      </c>
      <c r="N20" s="33">
        <f t="shared" si="19"/>
        <v>32.608331249999999</v>
      </c>
      <c r="O20" s="33">
        <f t="shared" si="20"/>
        <v>83.907924375000007</v>
      </c>
      <c r="P20" s="33">
        <f t="shared" si="21"/>
        <v>-51.299593125000008</v>
      </c>
      <c r="Q20" s="33"/>
      <c r="R20" s="33">
        <f t="shared" si="14"/>
        <v>1273.3875</v>
      </c>
      <c r="S20" s="33">
        <f t="shared" si="15"/>
        <v>1157.625</v>
      </c>
      <c r="T20" s="33">
        <f t="shared" si="16"/>
        <v>34.055362500000001</v>
      </c>
      <c r="U20" s="33">
        <f t="shared" si="17"/>
        <v>70.212676562500008</v>
      </c>
      <c r="V20" s="33">
        <f t="shared" si="22"/>
        <v>-36.157314062500006</v>
      </c>
      <c r="W20" s="33"/>
    </row>
    <row r="21" spans="2:23">
      <c r="B21" s="33"/>
      <c r="C21" s="33"/>
      <c r="D21">
        <f t="shared" si="7"/>
        <v>14</v>
      </c>
      <c r="F21" s="33">
        <f t="shared" si="8"/>
        <v>1337.056875</v>
      </c>
      <c r="G21" s="33">
        <f t="shared" si="9"/>
        <v>1215.5062500000001</v>
      </c>
      <c r="H21" s="33">
        <f t="shared" si="10"/>
        <v>37.247513437500004</v>
      </c>
      <c r="I21" s="33">
        <f t="shared" si="11"/>
        <v>56.843300187499999</v>
      </c>
      <c r="J21" s="33">
        <f t="shared" si="18"/>
        <v>-19.595786749999995</v>
      </c>
      <c r="K21" s="33"/>
      <c r="L21" s="33">
        <f t="shared" si="12"/>
        <v>1337.056875</v>
      </c>
      <c r="M21" s="33">
        <f t="shared" si="13"/>
        <v>1215.5062500000001</v>
      </c>
      <c r="N21" s="33">
        <f t="shared" si="19"/>
        <v>34.208747812500008</v>
      </c>
      <c r="O21" s="33">
        <f t="shared" si="20"/>
        <v>84.353320593749999</v>
      </c>
      <c r="P21" s="33">
        <f t="shared" si="21"/>
        <v>-50.144572781249991</v>
      </c>
      <c r="Q21" s="33"/>
      <c r="R21" s="33">
        <f t="shared" si="14"/>
        <v>1337.056875</v>
      </c>
      <c r="S21" s="33">
        <f t="shared" si="15"/>
        <v>1215.5062500000001</v>
      </c>
      <c r="T21" s="33">
        <f t="shared" si="16"/>
        <v>35.728130625000006</v>
      </c>
      <c r="U21" s="33">
        <f t="shared" si="17"/>
        <v>70.598310390625002</v>
      </c>
      <c r="V21" s="33">
        <f t="shared" si="22"/>
        <v>-34.870179765624997</v>
      </c>
      <c r="W21" s="33"/>
    </row>
    <row r="22" spans="2:23">
      <c r="B22" s="33"/>
      <c r="C22" s="33"/>
      <c r="D22">
        <f t="shared" si="7"/>
        <v>15</v>
      </c>
      <c r="F22" s="33">
        <f t="shared" si="8"/>
        <v>1403.9097187500001</v>
      </c>
      <c r="G22" s="33">
        <f t="shared" si="9"/>
        <v>1276.2815625000003</v>
      </c>
      <c r="H22" s="33">
        <f t="shared" si="10"/>
        <v>39.07988910937501</v>
      </c>
      <c r="I22" s="33">
        <f t="shared" si="11"/>
        <v>57.185465196875001</v>
      </c>
      <c r="J22" s="33">
        <f t="shared" si="18"/>
        <v>-18.10557608749999</v>
      </c>
      <c r="K22" s="33"/>
      <c r="L22" s="33">
        <f t="shared" si="12"/>
        <v>1403.9097187500001</v>
      </c>
      <c r="M22" s="33">
        <f t="shared" si="13"/>
        <v>1276.2815625000003</v>
      </c>
      <c r="N22" s="33">
        <f t="shared" si="19"/>
        <v>35.88918520312501</v>
      </c>
      <c r="O22" s="33">
        <f t="shared" si="20"/>
        <v>84.820986623437506</v>
      </c>
      <c r="P22" s="33">
        <f t="shared" si="21"/>
        <v>-48.931801420312496</v>
      </c>
      <c r="Q22" s="33"/>
      <c r="R22" s="33">
        <f t="shared" si="14"/>
        <v>1403.9097187500001</v>
      </c>
      <c r="S22" s="33">
        <f t="shared" si="15"/>
        <v>1276.2815625000003</v>
      </c>
      <c r="T22" s="33">
        <f t="shared" si="16"/>
        <v>37.484537156250013</v>
      </c>
      <c r="U22" s="33">
        <f t="shared" si="17"/>
        <v>71.00322591015626</v>
      </c>
      <c r="V22" s="33">
        <f t="shared" si="22"/>
        <v>-33.518688753906247</v>
      </c>
      <c r="W22" s="33"/>
    </row>
    <row r="23" spans="2:23">
      <c r="B23" s="33"/>
      <c r="C23" s="33"/>
      <c r="D23">
        <f t="shared" si="7"/>
        <v>16</v>
      </c>
      <c r="F23" s="33">
        <f t="shared" si="8"/>
        <v>1474.1052046875002</v>
      </c>
      <c r="G23" s="33">
        <f t="shared" si="9"/>
        <v>1340.0956406250004</v>
      </c>
      <c r="H23" s="33">
        <f t="shared" si="10"/>
        <v>41.003883564843761</v>
      </c>
      <c r="I23" s="33">
        <f t="shared" si="11"/>
        <v>57.544738456718754</v>
      </c>
      <c r="J23" s="33">
        <f t="shared" si="18"/>
        <v>-16.540854891874993</v>
      </c>
      <c r="K23" s="33"/>
      <c r="L23" s="33">
        <f t="shared" si="12"/>
        <v>1474.1052046875002</v>
      </c>
      <c r="M23" s="33">
        <f t="shared" si="13"/>
        <v>1340.0956406250004</v>
      </c>
      <c r="N23" s="33">
        <f t="shared" si="19"/>
        <v>37.653644463281267</v>
      </c>
      <c r="O23" s="33">
        <f t="shared" si="20"/>
        <v>85.312035954609385</v>
      </c>
      <c r="P23" s="33">
        <f t="shared" si="21"/>
        <v>-47.658391491328118</v>
      </c>
      <c r="Q23" s="33"/>
      <c r="R23" s="33">
        <f t="shared" si="14"/>
        <v>1474.1052046875002</v>
      </c>
      <c r="S23" s="33">
        <f t="shared" si="15"/>
        <v>1340.0956406250004</v>
      </c>
      <c r="T23" s="33">
        <f t="shared" si="16"/>
        <v>39.328764014062514</v>
      </c>
      <c r="U23" s="33">
        <f t="shared" si="17"/>
        <v>71.428387205664066</v>
      </c>
      <c r="V23" s="33">
        <f t="shared" si="22"/>
        <v>-32.099623191601552</v>
      </c>
      <c r="W23" s="33"/>
    </row>
    <row r="24" spans="2:23">
      <c r="B24" s="33"/>
      <c r="C24" s="33"/>
      <c r="D24">
        <f t="shared" si="7"/>
        <v>17</v>
      </c>
      <c r="F24" s="33">
        <f t="shared" si="8"/>
        <v>1547.8104649218753</v>
      </c>
      <c r="G24" s="33">
        <f t="shared" si="9"/>
        <v>1407.1004226562504</v>
      </c>
      <c r="H24" s="33">
        <f t="shared" si="10"/>
        <v>43.024077743085954</v>
      </c>
      <c r="I24" s="33">
        <f t="shared" si="11"/>
        <v>57.921975379554688</v>
      </c>
      <c r="J24" s="33">
        <f t="shared" si="18"/>
        <v>-14.897897636468734</v>
      </c>
      <c r="K24" s="33"/>
      <c r="L24" s="33">
        <f t="shared" si="12"/>
        <v>1547.8104649218753</v>
      </c>
      <c r="M24" s="33">
        <f t="shared" si="13"/>
        <v>1407.1004226562504</v>
      </c>
      <c r="N24" s="33">
        <f t="shared" si="19"/>
        <v>39.506326686445327</v>
      </c>
      <c r="O24" s="33">
        <f t="shared" si="20"/>
        <v>85.827637752339854</v>
      </c>
      <c r="P24" s="33">
        <f t="shared" si="21"/>
        <v>-46.321311065894527</v>
      </c>
      <c r="Q24" s="33"/>
      <c r="R24" s="33">
        <f t="shared" si="14"/>
        <v>1547.8104649218753</v>
      </c>
      <c r="S24" s="33">
        <f t="shared" si="15"/>
        <v>1407.1004226562504</v>
      </c>
      <c r="T24" s="33">
        <f t="shared" si="16"/>
        <v>41.265202214765637</v>
      </c>
      <c r="U24" s="33">
        <f t="shared" si="17"/>
        <v>71.874806565947267</v>
      </c>
      <c r="V24" s="33">
        <f t="shared" si="22"/>
        <v>-30.60960435118163</v>
      </c>
      <c r="W24" s="33"/>
    </row>
    <row r="25" spans="2:23">
      <c r="B25" s="33"/>
      <c r="C25" s="33"/>
      <c r="D25">
        <f t="shared" si="7"/>
        <v>18</v>
      </c>
      <c r="F25" s="33">
        <f t="shared" si="8"/>
        <v>1625.2009881679692</v>
      </c>
      <c r="G25" s="33">
        <f t="shared" si="9"/>
        <v>1477.4554437890631</v>
      </c>
      <c r="H25" s="33">
        <f t="shared" si="10"/>
        <v>45.145281630240255</v>
      </c>
      <c r="I25" s="33">
        <f t="shared" si="11"/>
        <v>58.318074148532425</v>
      </c>
      <c r="J25" s="33">
        <f t="shared" si="18"/>
        <v>-13.172792518292169</v>
      </c>
      <c r="K25" s="33"/>
      <c r="L25" s="33">
        <f t="shared" si="12"/>
        <v>1625.2009881679692</v>
      </c>
      <c r="M25" s="33">
        <f t="shared" si="13"/>
        <v>1477.4554437890631</v>
      </c>
      <c r="N25" s="33">
        <f t="shared" si="19"/>
        <v>41.451643020767598</v>
      </c>
      <c r="O25" s="33">
        <f t="shared" si="20"/>
        <v>86.369019639956846</v>
      </c>
      <c r="P25" s="33">
        <f t="shared" si="21"/>
        <v>-44.917376619189248</v>
      </c>
      <c r="Q25" s="33"/>
      <c r="R25" s="33">
        <f t="shared" si="14"/>
        <v>1625.2009881679692</v>
      </c>
      <c r="S25" s="33">
        <f t="shared" si="15"/>
        <v>1477.4554437890631</v>
      </c>
      <c r="T25" s="33">
        <f t="shared" si="16"/>
        <v>43.298462325503927</v>
      </c>
      <c r="U25" s="33">
        <f t="shared" si="17"/>
        <v>72.343546894244639</v>
      </c>
      <c r="V25" s="33">
        <f t="shared" si="22"/>
        <v>-29.045084568740712</v>
      </c>
      <c r="W25" s="33"/>
    </row>
    <row r="26" spans="2:23">
      <c r="B26" s="33"/>
      <c r="C26" s="33"/>
      <c r="D26">
        <f t="shared" si="7"/>
        <v>19</v>
      </c>
      <c r="F26" s="33">
        <f t="shared" si="8"/>
        <v>1706.4610375763677</v>
      </c>
      <c r="G26" s="33">
        <f t="shared" si="9"/>
        <v>1551.3282159785163</v>
      </c>
      <c r="H26" s="33">
        <f t="shared" si="10"/>
        <v>47.372545711752267</v>
      </c>
      <c r="I26" s="33">
        <f t="shared" si="11"/>
        <v>58.733977855959047</v>
      </c>
      <c r="J26" s="33">
        <f t="shared" si="18"/>
        <v>-11.36143214420678</v>
      </c>
      <c r="K26" s="33"/>
      <c r="L26" s="33">
        <f t="shared" si="12"/>
        <v>1706.4610375763677</v>
      </c>
      <c r="M26" s="33">
        <f t="shared" si="13"/>
        <v>1551.3282159785163</v>
      </c>
      <c r="N26" s="33">
        <f t="shared" si="19"/>
        <v>43.494225171805979</v>
      </c>
      <c r="O26" s="33">
        <f t="shared" si="20"/>
        <v>86.937470621954688</v>
      </c>
      <c r="P26" s="33">
        <f t="shared" si="21"/>
        <v>-43.443245450148709</v>
      </c>
      <c r="Q26" s="33"/>
      <c r="R26" s="33">
        <f t="shared" si="14"/>
        <v>1706.4610375763677</v>
      </c>
      <c r="S26" s="33">
        <f t="shared" si="15"/>
        <v>1551.3282159785163</v>
      </c>
      <c r="T26" s="33">
        <f t="shared" si="16"/>
        <v>45.433385441779123</v>
      </c>
      <c r="U26" s="33">
        <f t="shared" si="17"/>
        <v>72.835724238956871</v>
      </c>
      <c r="V26" s="33">
        <f t="shared" si="22"/>
        <v>-27.402338797177748</v>
      </c>
      <c r="W26" s="33"/>
    </row>
    <row r="27" spans="2:23">
      <c r="B27" s="33"/>
      <c r="C27" s="33"/>
      <c r="D27">
        <f t="shared" si="7"/>
        <v>20</v>
      </c>
      <c r="F27" s="33">
        <f t="shared" si="8"/>
        <v>1791.7840894551862</v>
      </c>
      <c r="G27" s="33">
        <f t="shared" si="9"/>
        <v>1628.8946267774422</v>
      </c>
      <c r="H27" s="33">
        <f t="shared" si="10"/>
        <v>49.711172997339887</v>
      </c>
      <c r="I27" s="33">
        <f t="shared" si="11"/>
        <v>59.170676748757003</v>
      </c>
      <c r="J27" s="33">
        <f t="shared" si="18"/>
        <v>-9.4595037514171167</v>
      </c>
      <c r="K27" s="33"/>
      <c r="L27" s="33">
        <f t="shared" si="12"/>
        <v>1791.7840894551862</v>
      </c>
      <c r="M27" s="33">
        <f t="shared" si="13"/>
        <v>1628.8946267774422</v>
      </c>
      <c r="N27" s="33">
        <f t="shared" si="19"/>
        <v>45.638936430396278</v>
      </c>
      <c r="O27" s="33">
        <f t="shared" si="20"/>
        <v>87.534344153052416</v>
      </c>
      <c r="P27" s="33">
        <f t="shared" si="21"/>
        <v>-41.895407722656138</v>
      </c>
      <c r="Q27" s="33"/>
      <c r="R27" s="33">
        <f t="shared" si="14"/>
        <v>1791.7840894551862</v>
      </c>
      <c r="S27" s="33">
        <f t="shared" si="15"/>
        <v>1628.8946267774422</v>
      </c>
      <c r="T27" s="33">
        <f t="shared" si="16"/>
        <v>47.675054713868079</v>
      </c>
      <c r="U27" s="33">
        <f t="shared" si="17"/>
        <v>73.352510450904703</v>
      </c>
      <c r="V27" s="33">
        <f t="shared" si="22"/>
        <v>-25.677455737036624</v>
      </c>
      <c r="W27" s="33"/>
    </row>
    <row r="28" spans="2:23">
      <c r="B28" s="33"/>
      <c r="C28" s="33"/>
      <c r="D28">
        <f t="shared" si="7"/>
        <v>21</v>
      </c>
      <c r="F28" s="33">
        <f t="shared" si="8"/>
        <v>1881.3732939279455</v>
      </c>
      <c r="G28" s="33">
        <f t="shared" si="9"/>
        <v>1710.3393581163143</v>
      </c>
      <c r="H28" s="33">
        <f t="shared" si="10"/>
        <v>52.16673164720688</v>
      </c>
      <c r="I28" s="33">
        <f t="shared" si="11"/>
        <v>59.629210586194851</v>
      </c>
      <c r="J28" s="33">
        <f t="shared" si="18"/>
        <v>-7.4624789389879709</v>
      </c>
      <c r="K28" s="33"/>
      <c r="L28" s="33">
        <f t="shared" si="12"/>
        <v>1881.3732939279455</v>
      </c>
      <c r="M28" s="33">
        <f t="shared" si="13"/>
        <v>1710.3393581163143</v>
      </c>
      <c r="N28" s="33">
        <f t="shared" si="19"/>
        <v>47.890883251916094</v>
      </c>
      <c r="O28" s="33">
        <f t="shared" si="20"/>
        <v>88.161061360705048</v>
      </c>
      <c r="P28" s="33">
        <f t="shared" si="21"/>
        <v>-40.270178108788954</v>
      </c>
      <c r="Q28" s="33"/>
      <c r="R28" s="33">
        <f t="shared" si="14"/>
        <v>1881.3732939279455</v>
      </c>
      <c r="S28" s="33">
        <f t="shared" si="15"/>
        <v>1710.3393581163143</v>
      </c>
      <c r="T28" s="33">
        <f t="shared" si="16"/>
        <v>50.028807449561484</v>
      </c>
      <c r="U28" s="33">
        <f t="shared" si="17"/>
        <v>73.895135973449953</v>
      </c>
      <c r="V28" s="33">
        <f t="shared" si="22"/>
        <v>-23.86632852388847</v>
      </c>
      <c r="W28" s="33"/>
    </row>
    <row r="29" spans="2:23">
      <c r="B29" s="33"/>
      <c r="C29" s="33"/>
      <c r="D29" s="69">
        <f t="shared" si="7"/>
        <v>22</v>
      </c>
      <c r="F29" s="33">
        <f t="shared" si="8"/>
        <v>1975.4419586243428</v>
      </c>
      <c r="G29" s="33">
        <f t="shared" si="9"/>
        <v>1795.8563260221301</v>
      </c>
      <c r="H29" s="33">
        <f t="shared" si="10"/>
        <v>54.745068229567224</v>
      </c>
      <c r="I29" s="33">
        <f t="shared" si="11"/>
        <v>60.110671115504594</v>
      </c>
      <c r="J29" s="33">
        <f t="shared" si="18"/>
        <v>-5.3656028859373706</v>
      </c>
      <c r="L29" s="33">
        <f t="shared" si="12"/>
        <v>1975.4419586243428</v>
      </c>
      <c r="M29" s="33">
        <f t="shared" si="13"/>
        <v>1795.8563260221301</v>
      </c>
      <c r="N29" s="33">
        <f t="shared" si="19"/>
        <v>50.2554274145119</v>
      </c>
      <c r="O29" s="33">
        <f t="shared" si="20"/>
        <v>88.819114428740292</v>
      </c>
      <c r="P29" s="33">
        <f t="shared" si="21"/>
        <v>-38.563687014228393</v>
      </c>
      <c r="Q29" s="33"/>
      <c r="R29" s="33">
        <f t="shared" si="14"/>
        <v>1975.4419586243428</v>
      </c>
      <c r="S29" s="33">
        <f t="shared" si="15"/>
        <v>1795.8563260221301</v>
      </c>
      <c r="T29" s="33">
        <f t="shared" si="16"/>
        <v>52.500247822039562</v>
      </c>
      <c r="U29" s="33">
        <f t="shared" si="17"/>
        <v>74.46489277212244</v>
      </c>
      <c r="V29" s="33">
        <f t="shared" si="22"/>
        <v>-21.964644950082878</v>
      </c>
      <c r="W29" s="33"/>
    </row>
    <row r="30" spans="2:23">
      <c r="B30" s="33"/>
      <c r="C30" s="33"/>
      <c r="D30">
        <f t="shared" si="7"/>
        <v>23</v>
      </c>
      <c r="F30" s="33">
        <f t="shared" si="8"/>
        <v>2074.2140565555601</v>
      </c>
      <c r="G30" s="33">
        <f t="shared" si="9"/>
        <v>1885.6491423232367</v>
      </c>
      <c r="H30" s="33">
        <f t="shared" si="10"/>
        <v>57.452321641045586</v>
      </c>
      <c r="I30" s="33">
        <f t="shared" si="11"/>
        <v>60.616204671279817</v>
      </c>
      <c r="J30" s="33">
        <f t="shared" si="18"/>
        <v>-3.1638830302342313</v>
      </c>
      <c r="L30" s="33">
        <f t="shared" si="12"/>
        <v>2074.2140565555601</v>
      </c>
      <c r="M30" s="33">
        <f t="shared" si="13"/>
        <v>1885.6491423232367</v>
      </c>
      <c r="N30" s="33">
        <f t="shared" si="19"/>
        <v>52.7381987852375</v>
      </c>
      <c r="O30" s="33">
        <f t="shared" si="20"/>
        <v>89.510070150177313</v>
      </c>
      <c r="P30" s="33">
        <f t="shared" si="21"/>
        <v>-36.771871364939813</v>
      </c>
      <c r="Q30" s="33"/>
      <c r="R30" s="33">
        <f t="shared" si="14"/>
        <v>2074.2140565555601</v>
      </c>
      <c r="S30" s="33">
        <f t="shared" si="15"/>
        <v>1885.6491423232367</v>
      </c>
      <c r="T30" s="33">
        <f t="shared" si="16"/>
        <v>55.095260213141543</v>
      </c>
      <c r="U30" s="33">
        <f t="shared" si="17"/>
        <v>75.063137410728558</v>
      </c>
      <c r="V30" s="33">
        <f t="shared" si="22"/>
        <v>-19.967877197587015</v>
      </c>
      <c r="W30" s="33"/>
    </row>
    <row r="31" spans="2:23">
      <c r="B31" s="33"/>
      <c r="C31" s="33"/>
      <c r="D31" s="263">
        <f t="shared" si="7"/>
        <v>24</v>
      </c>
      <c r="F31" s="33">
        <f t="shared" si="8"/>
        <v>2177.9247593833384</v>
      </c>
      <c r="G31" s="33">
        <f t="shared" si="9"/>
        <v>1979.9315994393985</v>
      </c>
      <c r="H31" s="33">
        <f t="shared" si="10"/>
        <v>60.294937723097867</v>
      </c>
      <c r="I31" s="33">
        <f t="shared" si="11"/>
        <v>61.147014904843815</v>
      </c>
      <c r="J31" s="33">
        <f t="shared" si="18"/>
        <v>-0.8520771817459476</v>
      </c>
      <c r="K31" s="159">
        <f>SUM(J8:J31)</f>
        <v>-579.77322081666546</v>
      </c>
      <c r="L31" s="33">
        <f t="shared" si="12"/>
        <v>2177.9247593833384</v>
      </c>
      <c r="M31" s="33">
        <f t="shared" si="13"/>
        <v>1979.9315994393985</v>
      </c>
      <c r="N31" s="33">
        <f t="shared" si="19"/>
        <v>55.345108724499369</v>
      </c>
      <c r="O31" s="33">
        <f t="shared" si="20"/>
        <v>90.235573657686174</v>
      </c>
      <c r="P31" s="33">
        <f t="shared" si="21"/>
        <v>-34.890464933186806</v>
      </c>
      <c r="Q31" s="33"/>
      <c r="R31" s="33">
        <f t="shared" si="14"/>
        <v>2177.9247593833384</v>
      </c>
      <c r="S31" s="33">
        <f t="shared" si="15"/>
        <v>1979.9315994393985</v>
      </c>
      <c r="T31" s="33">
        <f t="shared" si="16"/>
        <v>57.820023223798614</v>
      </c>
      <c r="U31" s="33">
        <f t="shared" si="17"/>
        <v>75.691294281264987</v>
      </c>
      <c r="V31" s="33">
        <f t="shared" si="22"/>
        <v>-17.871271057466373</v>
      </c>
      <c r="W31" s="33"/>
    </row>
    <row r="32" spans="2:23">
      <c r="B32" s="33"/>
      <c r="C32" s="33"/>
      <c r="D32">
        <f t="shared" si="7"/>
        <v>25</v>
      </c>
      <c r="F32" s="33">
        <f t="shared" si="8"/>
        <v>2286.8209973525054</v>
      </c>
      <c r="G32" s="33">
        <f t="shared" si="9"/>
        <v>2078.9281794113685</v>
      </c>
      <c r="H32" s="33">
        <f t="shared" si="10"/>
        <v>63.279684609252762</v>
      </c>
      <c r="I32" s="33">
        <f t="shared" si="11"/>
        <v>61.704365650086004</v>
      </c>
      <c r="J32" s="33">
        <f t="shared" si="18"/>
        <v>1.5753189591667578</v>
      </c>
      <c r="K32" s="33">
        <f>F32*0.15</f>
        <v>343.02314960287578</v>
      </c>
      <c r="L32" s="33">
        <f t="shared" si="12"/>
        <v>2286.8209973525054</v>
      </c>
      <c r="M32" s="33">
        <f t="shared" si="13"/>
        <v>2078.9281794113685</v>
      </c>
      <c r="N32" s="33">
        <f t="shared" si="19"/>
        <v>58.082364160724346</v>
      </c>
      <c r="O32" s="33">
        <f t="shared" si="20"/>
        <v>90.997352340570487</v>
      </c>
      <c r="P32" s="33">
        <f t="shared" si="21"/>
        <v>-32.914988179846141</v>
      </c>
      <c r="Q32" s="33"/>
      <c r="R32" s="33">
        <f t="shared" si="14"/>
        <v>2286.8209973525054</v>
      </c>
      <c r="S32" s="33">
        <f t="shared" si="15"/>
        <v>2078.9281794113685</v>
      </c>
      <c r="T32" s="33">
        <f t="shared" si="16"/>
        <v>60.681024384988554</v>
      </c>
      <c r="U32" s="33">
        <f t="shared" si="17"/>
        <v>76.350858995328252</v>
      </c>
      <c r="V32" s="33">
        <f t="shared" si="22"/>
        <v>-15.669834610339699</v>
      </c>
      <c r="W32" s="33"/>
    </row>
    <row r="33" spans="2:23">
      <c r="B33" s="33"/>
      <c r="C33" s="33"/>
      <c r="D33">
        <f t="shared" si="7"/>
        <v>26</v>
      </c>
      <c r="F33" s="33">
        <f t="shared" si="8"/>
        <v>2401.1620472201307</v>
      </c>
      <c r="G33" s="33">
        <f t="shared" si="9"/>
        <v>2182.874588381937</v>
      </c>
      <c r="H33" s="33">
        <f t="shared" si="10"/>
        <v>66.413668839715399</v>
      </c>
      <c r="I33" s="33">
        <f t="shared" si="11"/>
        <v>62.289583932590304</v>
      </c>
      <c r="J33" s="33">
        <f t="shared" si="18"/>
        <v>4.1240849071250949</v>
      </c>
      <c r="K33" s="33"/>
      <c r="L33" s="33">
        <f t="shared" si="12"/>
        <v>2401.1620472201307</v>
      </c>
      <c r="M33" s="33">
        <f t="shared" si="13"/>
        <v>2182.874588381937</v>
      </c>
      <c r="N33" s="33">
        <f t="shared" si="19"/>
        <v>60.956482368760561</v>
      </c>
      <c r="O33" s="33">
        <f t="shared" si="20"/>
        <v>91.797219957599012</v>
      </c>
      <c r="P33" s="33">
        <f t="shared" si="21"/>
        <v>-30.840737588838451</v>
      </c>
      <c r="Q33" s="33"/>
      <c r="R33" s="33">
        <f t="shared" si="14"/>
        <v>2401.1620472201307</v>
      </c>
      <c r="S33" s="33">
        <f t="shared" si="15"/>
        <v>2182.874588381937</v>
      </c>
      <c r="T33" s="33">
        <f t="shared" si="16"/>
        <v>63.68507560423798</v>
      </c>
      <c r="U33" s="33">
        <f t="shared" si="17"/>
        <v>77.043401945094658</v>
      </c>
      <c r="V33" s="33">
        <f>T33-U33</f>
        <v>-13.358326340856678</v>
      </c>
      <c r="W33" s="33"/>
    </row>
    <row r="34" spans="2:23">
      <c r="B34" s="33"/>
      <c r="C34" s="33"/>
      <c r="D34">
        <f t="shared" si="7"/>
        <v>27</v>
      </c>
      <c r="F34" s="33">
        <f t="shared" si="8"/>
        <v>2521.2201495811373</v>
      </c>
      <c r="G34" s="33">
        <f t="shared" si="9"/>
        <v>2292.0183178010338</v>
      </c>
      <c r="H34" s="33">
        <f>G34*$B$70+$B$74</f>
        <v>69.704352281701162</v>
      </c>
      <c r="I34" s="33">
        <f t="shared" si="11"/>
        <v>62.904063129219821</v>
      </c>
      <c r="J34" s="33">
        <f t="shared" si="18"/>
        <v>6.8002891524813407</v>
      </c>
      <c r="K34" s="33"/>
      <c r="L34" s="33">
        <f t="shared" si="12"/>
        <v>2521.2201495811373</v>
      </c>
      <c r="M34" s="33">
        <f t="shared" si="13"/>
        <v>2292.0183178010338</v>
      </c>
      <c r="N34" s="33">
        <f t="shared" si="19"/>
        <v>63.974306487198589</v>
      </c>
      <c r="O34" s="33">
        <f>-(M34*$C$71+$D$71+$E$71)</f>
        <v>92.63708095547895</v>
      </c>
      <c r="P34" s="33">
        <f t="shared" si="21"/>
        <v>-28.662774468280361</v>
      </c>
      <c r="Q34" s="33"/>
      <c r="R34" s="33">
        <f t="shared" si="14"/>
        <v>2521.2201495811373</v>
      </c>
      <c r="S34" s="33">
        <f t="shared" si="15"/>
        <v>2292.0183178010338</v>
      </c>
      <c r="T34" s="33">
        <f t="shared" si="16"/>
        <v>66.839329384449883</v>
      </c>
      <c r="U34" s="33">
        <f t="shared" si="17"/>
        <v>77.770572042349386</v>
      </c>
      <c r="V34" s="33">
        <f t="shared" si="22"/>
        <v>-10.931242657899503</v>
      </c>
      <c r="W34" s="33"/>
    </row>
    <row r="35" spans="2:23">
      <c r="B35" s="33"/>
      <c r="C35" s="33"/>
      <c r="D35">
        <f t="shared" si="7"/>
        <v>28</v>
      </c>
      <c r="F35" s="33">
        <f t="shared" si="8"/>
        <v>2647.2811570601943</v>
      </c>
      <c r="G35" s="33">
        <f t="shared" si="9"/>
        <v>2406.6192336910858</v>
      </c>
      <c r="H35" s="33">
        <f t="shared" si="10"/>
        <v>73.159569895786234</v>
      </c>
      <c r="I35" s="33">
        <f t="shared" si="11"/>
        <v>63.549266285680815</v>
      </c>
      <c r="J35" s="33">
        <f t="shared" si="18"/>
        <v>9.6103036101054187</v>
      </c>
      <c r="K35" s="33"/>
      <c r="L35" s="33">
        <f t="shared" si="12"/>
        <v>2647.2811570601943</v>
      </c>
      <c r="M35" s="33">
        <f t="shared" si="13"/>
        <v>2406.6192336910858</v>
      </c>
      <c r="N35" s="33">
        <f t="shared" si="19"/>
        <v>67.143021811558526</v>
      </c>
      <c r="O35" s="33">
        <f t="shared" si="20"/>
        <v>93.518935003252906</v>
      </c>
      <c r="P35" s="33">
        <f t="shared" si="21"/>
        <v>-26.37591319169438</v>
      </c>
      <c r="Q35" s="33"/>
      <c r="R35" s="33">
        <f t="shared" si="14"/>
        <v>2647.2811570601943</v>
      </c>
      <c r="S35" s="33">
        <f t="shared" si="15"/>
        <v>2406.6192336910858</v>
      </c>
      <c r="T35" s="33">
        <f t="shared" si="16"/>
        <v>70.15129585367238</v>
      </c>
      <c r="U35" s="33">
        <f t="shared" si="17"/>
        <v>78.534100644466861</v>
      </c>
      <c r="V35" s="33">
        <f t="shared" si="22"/>
        <v>-8.3828047907944807</v>
      </c>
      <c r="W35" s="33"/>
    </row>
    <row r="36" spans="2:23">
      <c r="B36" s="33"/>
      <c r="C36" s="33"/>
      <c r="D36" s="69">
        <f t="shared" si="7"/>
        <v>29</v>
      </c>
      <c r="F36" s="33">
        <f t="shared" si="8"/>
        <v>2779.6452149132042</v>
      </c>
      <c r="G36" s="33">
        <f t="shared" si="9"/>
        <v>2526.9501953756403</v>
      </c>
      <c r="H36" s="33">
        <f t="shared" si="10"/>
        <v>76.787548390575552</v>
      </c>
      <c r="I36" s="33">
        <f t="shared" si="11"/>
        <v>64.226729599964855</v>
      </c>
      <c r="J36" s="33">
        <f t="shared" si="18"/>
        <v>12.560818790610696</v>
      </c>
      <c r="K36" s="33"/>
      <c r="L36" s="33">
        <f t="shared" si="12"/>
        <v>2779.6452149132042</v>
      </c>
      <c r="M36" s="33">
        <f t="shared" si="13"/>
        <v>2526.9501953756403</v>
      </c>
      <c r="N36" s="33">
        <f>M36*$B$71+$B$74</f>
        <v>70.470172902136454</v>
      </c>
      <c r="O36" s="33">
        <f t="shared" si="20"/>
        <v>94.444881753415558</v>
      </c>
      <c r="P36" s="33">
        <f t="shared" si="21"/>
        <v>-23.974708851279104</v>
      </c>
      <c r="Q36" s="33"/>
      <c r="R36" s="33">
        <f t="shared" si="14"/>
        <v>2779.6452149132042</v>
      </c>
      <c r="S36" s="33">
        <f t="shared" si="15"/>
        <v>2526.9501953756403</v>
      </c>
      <c r="T36" s="33">
        <f t="shared" si="16"/>
        <v>73.628860646356003</v>
      </c>
      <c r="U36" s="33">
        <f t="shared" si="17"/>
        <v>79.3358056766902</v>
      </c>
      <c r="V36" s="33">
        <f t="shared" si="22"/>
        <v>-5.7069450303341966</v>
      </c>
    </row>
    <row r="37" spans="2:23">
      <c r="B37" s="33"/>
      <c r="C37" s="33"/>
      <c r="D37" s="263">
        <f>1+D36</f>
        <v>30</v>
      </c>
      <c r="F37" s="33">
        <f t="shared" si="8"/>
        <v>2918.6274756588646</v>
      </c>
      <c r="G37" s="33">
        <f t="shared" si="9"/>
        <v>2653.2977051444223</v>
      </c>
      <c r="H37" s="33">
        <f t="shared" si="10"/>
        <v>80.596925810104324</v>
      </c>
      <c r="I37" s="33">
        <f t="shared" si="11"/>
        <v>64.938066079963093</v>
      </c>
      <c r="J37" s="33">
        <f t="shared" si="18"/>
        <v>15.658859730141231</v>
      </c>
      <c r="K37" s="33"/>
      <c r="L37" s="33">
        <f t="shared" si="12"/>
        <v>2918.6274756588646</v>
      </c>
      <c r="M37" s="33">
        <f t="shared" si="13"/>
        <v>2653.2977051444223</v>
      </c>
      <c r="N37" s="33">
        <f t="shared" si="19"/>
        <v>73.963681547243269</v>
      </c>
      <c r="O37" s="33">
        <f t="shared" si="20"/>
        <v>95.417125841086332</v>
      </c>
      <c r="P37" s="33">
        <f t="shared" si="21"/>
        <v>-21.453444293843063</v>
      </c>
      <c r="Q37" s="33"/>
      <c r="R37" s="33">
        <f t="shared" si="14"/>
        <v>2918.6274756588646</v>
      </c>
      <c r="S37" s="33">
        <f t="shared" si="15"/>
        <v>2653.2977051444223</v>
      </c>
      <c r="T37" s="33">
        <f t="shared" si="16"/>
        <v>77.280303678673789</v>
      </c>
      <c r="U37" s="33">
        <f t="shared" si="17"/>
        <v>80.177595960524712</v>
      </c>
      <c r="V37" s="33">
        <f t="shared" si="22"/>
        <v>-2.8972922818509232</v>
      </c>
      <c r="W37" s="159">
        <f>SUM(V8:V37)</f>
        <v>-993.09276291886954</v>
      </c>
    </row>
    <row r="38" spans="2:23">
      <c r="B38" s="33"/>
      <c r="C38" s="33"/>
      <c r="D38">
        <f t="shared" si="7"/>
        <v>31</v>
      </c>
      <c r="F38" s="33">
        <f t="shared" si="8"/>
        <v>3064.558849441808</v>
      </c>
      <c r="G38" s="33">
        <f t="shared" si="9"/>
        <v>2785.9625904016434</v>
      </c>
      <c r="H38" s="33">
        <f t="shared" si="10"/>
        <v>84.596772100609542</v>
      </c>
      <c r="I38" s="33">
        <f t="shared" si="11"/>
        <v>65.68496938396126</v>
      </c>
      <c r="J38" s="33">
        <f t="shared" si="18"/>
        <v>18.911802716648282</v>
      </c>
      <c r="K38" s="33"/>
      <c r="L38" s="33">
        <f t="shared" si="12"/>
        <v>3064.558849441808</v>
      </c>
      <c r="M38" s="33">
        <f t="shared" si="13"/>
        <v>2785.9625904016434</v>
      </c>
      <c r="N38" s="33">
        <f t="shared" si="19"/>
        <v>77.631865624605439</v>
      </c>
      <c r="O38" s="33">
        <f t="shared" si="20"/>
        <v>96.43798213314065</v>
      </c>
      <c r="P38" s="33">
        <f t="shared" si="21"/>
        <v>-18.806116508535212</v>
      </c>
      <c r="Q38" s="33"/>
      <c r="R38" s="33">
        <f t="shared" si="14"/>
        <v>3064.558849441808</v>
      </c>
      <c r="S38" s="33">
        <f t="shared" si="15"/>
        <v>2785.9625904016434</v>
      </c>
      <c r="T38" s="33">
        <f t="shared" si="16"/>
        <v>81.11431886260749</v>
      </c>
      <c r="U38" s="33">
        <f t="shared" si="17"/>
        <v>81.061475758550955</v>
      </c>
      <c r="V38" s="33">
        <f t="shared" si="22"/>
        <v>5.284310405653514E-2</v>
      </c>
      <c r="W38" s="36">
        <f>R38*0.15</f>
        <v>459.68382741627119</v>
      </c>
    </row>
    <row r="39" spans="2:23">
      <c r="B39" s="33"/>
      <c r="C39" s="33"/>
      <c r="D39">
        <f t="shared" si="7"/>
        <v>32</v>
      </c>
      <c r="F39" s="33">
        <f t="shared" si="8"/>
        <v>3217.7867919138985</v>
      </c>
      <c r="G39" s="33">
        <f t="shared" si="9"/>
        <v>2925.2607199217259</v>
      </c>
      <c r="H39" s="33">
        <f t="shared" si="10"/>
        <v>88.796610705640035</v>
      </c>
      <c r="I39" s="33">
        <f t="shared" si="11"/>
        <v>66.469217853159307</v>
      </c>
      <c r="J39" s="33">
        <f t="shared" si="18"/>
        <v>22.327392852480727</v>
      </c>
      <c r="K39" s="33"/>
      <c r="L39" s="33">
        <f t="shared" si="12"/>
        <v>3217.7867919138985</v>
      </c>
      <c r="M39" s="33">
        <f t="shared" si="13"/>
        <v>2925.2607199217259</v>
      </c>
      <c r="N39" s="33">
        <f t="shared" si="19"/>
        <v>81.483458905835718</v>
      </c>
      <c r="O39" s="33">
        <f t="shared" si="20"/>
        <v>97.509881239797693</v>
      </c>
      <c r="P39" s="33">
        <f t="shared" si="21"/>
        <v>-16.026422333961975</v>
      </c>
      <c r="Q39" s="33"/>
      <c r="R39" s="33">
        <f t="shared" si="14"/>
        <v>3217.7867919138985</v>
      </c>
      <c r="S39" s="33">
        <f t="shared" si="15"/>
        <v>2925.2607199217259</v>
      </c>
      <c r="T39" s="33">
        <f t="shared" si="16"/>
        <v>85.140034805737884</v>
      </c>
      <c r="U39" s="33">
        <f t="shared" si="17"/>
        <v>81.9895495464785</v>
      </c>
      <c r="V39" s="33">
        <f t="shared" si="22"/>
        <v>3.1504852592593835</v>
      </c>
      <c r="W39" s="33"/>
    </row>
    <row r="40" spans="2:23">
      <c r="B40" s="33"/>
      <c r="C40" s="33"/>
      <c r="D40">
        <f t="shared" si="7"/>
        <v>33</v>
      </c>
      <c r="F40" s="33">
        <f t="shared" si="8"/>
        <v>3378.6761315095937</v>
      </c>
      <c r="G40" s="33">
        <f t="shared" si="9"/>
        <v>3071.5237559178122</v>
      </c>
      <c r="H40" s="33">
        <f t="shared" si="10"/>
        <v>93.206441240922032</v>
      </c>
      <c r="I40" s="33">
        <f t="shared" si="11"/>
        <v>67.292678745817284</v>
      </c>
      <c r="J40" s="33">
        <f t="shared" si="18"/>
        <v>25.913762495104748</v>
      </c>
      <c r="K40" s="33"/>
      <c r="L40" s="33">
        <f t="shared" si="12"/>
        <v>3378.6761315095937</v>
      </c>
      <c r="M40" s="33">
        <f t="shared" si="13"/>
        <v>3071.5237559178122</v>
      </c>
      <c r="N40" s="33">
        <f t="shared" si="19"/>
        <v>85.527631851127509</v>
      </c>
      <c r="O40" s="33">
        <f t="shared" si="20"/>
        <v>98.635375301787576</v>
      </c>
      <c r="P40" s="33">
        <f t="shared" si="21"/>
        <v>-13.107743450660067</v>
      </c>
      <c r="Q40" s="33"/>
      <c r="R40" s="33">
        <f t="shared" si="14"/>
        <v>3378.6761315095937</v>
      </c>
      <c r="S40" s="33">
        <f t="shared" si="15"/>
        <v>3071.5237559178122</v>
      </c>
      <c r="T40" s="33">
        <f t="shared" si="16"/>
        <v>89.367036546024764</v>
      </c>
      <c r="U40" s="33">
        <f t="shared" si="17"/>
        <v>82.96402702380243</v>
      </c>
      <c r="V40" s="33">
        <f t="shared" si="22"/>
        <v>6.4030095222223338</v>
      </c>
      <c r="W40" s="33"/>
    </row>
    <row r="41" spans="2:23">
      <c r="B41" s="33"/>
      <c r="C41" s="33"/>
      <c r="D41">
        <f t="shared" si="7"/>
        <v>34</v>
      </c>
      <c r="F41" s="33">
        <f t="shared" si="8"/>
        <v>3547.6099380850737</v>
      </c>
      <c r="G41" s="33">
        <f t="shared" si="9"/>
        <v>3225.0999437137029</v>
      </c>
      <c r="H41" s="33">
        <f t="shared" si="10"/>
        <v>97.836763302968137</v>
      </c>
      <c r="I41" s="33">
        <f t="shared" si="11"/>
        <v>68.157312683108145</v>
      </c>
      <c r="J41" s="33">
        <f t="shared" si="18"/>
        <v>29.679450619859992</v>
      </c>
      <c r="K41" s="33"/>
      <c r="L41" s="33">
        <f t="shared" si="12"/>
        <v>3547.6099380850737</v>
      </c>
      <c r="M41" s="33">
        <f t="shared" si="13"/>
        <v>3225.0999437137029</v>
      </c>
      <c r="N41" s="33">
        <f t="shared" si="19"/>
        <v>89.774013443683884</v>
      </c>
      <c r="O41" s="33">
        <f t="shared" si="20"/>
        <v>99.817144066876949</v>
      </c>
      <c r="P41" s="33">
        <f t="shared" si="21"/>
        <v>-10.043130623193065</v>
      </c>
      <c r="Q41" s="33"/>
      <c r="R41" s="33">
        <f t="shared" si="14"/>
        <v>3547.6099380850737</v>
      </c>
      <c r="S41" s="33">
        <f t="shared" si="15"/>
        <v>3225.0999437137029</v>
      </c>
      <c r="T41" s="33">
        <f t="shared" si="16"/>
        <v>93.805388373326011</v>
      </c>
      <c r="U41" s="33">
        <f t="shared" si="17"/>
        <v>83.987228374992554</v>
      </c>
      <c r="V41" s="33">
        <f t="shared" si="22"/>
        <v>9.8181599983334564</v>
      </c>
      <c r="W41" s="33"/>
    </row>
    <row r="42" spans="2:23">
      <c r="B42" s="33"/>
      <c r="C42" s="33"/>
      <c r="D42" s="69">
        <f t="shared" si="7"/>
        <v>35</v>
      </c>
      <c r="F42" s="33">
        <f t="shared" si="8"/>
        <v>3724.9904349893277</v>
      </c>
      <c r="G42" s="33">
        <f t="shared" si="9"/>
        <v>3386.3549408993881</v>
      </c>
      <c r="H42" s="33">
        <f t="shared" si="10"/>
        <v>102.69860146811655</v>
      </c>
      <c r="I42" s="33">
        <f t="shared" si="11"/>
        <v>69.065178317263559</v>
      </c>
      <c r="J42" s="33">
        <f t="shared" si="18"/>
        <v>33.633423150852991</v>
      </c>
      <c r="K42" s="33"/>
      <c r="L42" s="33">
        <f t="shared" si="12"/>
        <v>3724.9904349893277</v>
      </c>
      <c r="M42" s="33">
        <f t="shared" si="13"/>
        <v>3386.3549408993881</v>
      </c>
      <c r="N42" s="33">
        <f t="shared" si="19"/>
        <v>94.232714115868077</v>
      </c>
      <c r="O42" s="33">
        <f t="shared" si="20"/>
        <v>101.0580012702208</v>
      </c>
      <c r="P42" s="33">
        <f t="shared" si="21"/>
        <v>-6.825287154352722</v>
      </c>
      <c r="R42" s="33">
        <f t="shared" si="14"/>
        <v>3724.9904349893277</v>
      </c>
      <c r="S42" s="33">
        <f t="shared" si="15"/>
        <v>3386.3549408993881</v>
      </c>
      <c r="T42" s="33">
        <f t="shared" si="16"/>
        <v>98.465657791992314</v>
      </c>
      <c r="U42" s="33">
        <f t="shared" si="17"/>
        <v>85.061589793742172</v>
      </c>
      <c r="V42" s="33">
        <f t="shared" si="22"/>
        <v>13.404067998250142</v>
      </c>
      <c r="W42" s="33"/>
    </row>
    <row r="43" spans="2:23">
      <c r="B43" s="33"/>
      <c r="C43" s="33"/>
      <c r="D43" s="263">
        <f t="shared" si="7"/>
        <v>36</v>
      </c>
      <c r="F43" s="33">
        <f t="shared" si="8"/>
        <v>3911.2399567387943</v>
      </c>
      <c r="G43" s="33">
        <f t="shared" si="9"/>
        <v>3555.6726879443577</v>
      </c>
      <c r="H43" s="33">
        <f t="shared" si="10"/>
        <v>107.80353154152237</v>
      </c>
      <c r="I43" s="33">
        <f t="shared" si="11"/>
        <v>70.018437233126733</v>
      </c>
      <c r="J43" s="33">
        <f t="shared" si="18"/>
        <v>37.785094308395642</v>
      </c>
      <c r="K43" s="33"/>
      <c r="L43" s="33">
        <f t="shared" si="12"/>
        <v>3911.2399567387943</v>
      </c>
      <c r="M43" s="33">
        <f t="shared" si="13"/>
        <v>3555.6726879443577</v>
      </c>
      <c r="N43" s="33">
        <f t="shared" si="19"/>
        <v>98.914349821661489</v>
      </c>
      <c r="O43" s="33">
        <f t="shared" si="20"/>
        <v>102.36090133373185</v>
      </c>
      <c r="P43" s="33">
        <f t="shared" si="21"/>
        <v>-3.4465515120703571</v>
      </c>
      <c r="Q43" s="159">
        <f>SUM(P8:P43)</f>
        <v>-1524.9972317534782</v>
      </c>
      <c r="R43" s="33">
        <f t="shared" si="14"/>
        <v>3911.2399567387943</v>
      </c>
      <c r="S43" s="33">
        <f t="shared" si="15"/>
        <v>3555.6726879443577</v>
      </c>
      <c r="T43" s="33">
        <f t="shared" si="16"/>
        <v>103.35894068159193</v>
      </c>
      <c r="U43" s="33">
        <f t="shared" si="17"/>
        <v>86.189669283429282</v>
      </c>
      <c r="V43" s="33">
        <f t="shared" si="22"/>
        <v>17.16927139816265</v>
      </c>
      <c r="W43" s="33"/>
    </row>
    <row r="44" spans="2:23">
      <c r="B44" s="33"/>
      <c r="C44" s="33"/>
      <c r="D44">
        <f t="shared" si="7"/>
        <v>37</v>
      </c>
      <c r="F44" s="33">
        <f t="shared" si="8"/>
        <v>4106.8019545757343</v>
      </c>
      <c r="G44" s="33">
        <f t="shared" si="9"/>
        <v>3733.4563223415757</v>
      </c>
      <c r="H44" s="33">
        <f t="shared" si="10"/>
        <v>113.16370811859851</v>
      </c>
      <c r="I44" s="33">
        <f t="shared" si="11"/>
        <v>71.01935909478307</v>
      </c>
      <c r="J44" s="33">
        <f t="shared" si="18"/>
        <v>42.144349023815437</v>
      </c>
      <c r="K44" s="33"/>
      <c r="L44" s="33">
        <f t="shared" si="12"/>
        <v>4106.8019545757343</v>
      </c>
      <c r="M44" s="33">
        <f t="shared" si="13"/>
        <v>3733.4563223415757</v>
      </c>
      <c r="N44" s="33">
        <f t="shared" si="19"/>
        <v>103.83006731274456</v>
      </c>
      <c r="O44" s="33">
        <f t="shared" si="20"/>
        <v>103.72894640041844</v>
      </c>
      <c r="P44" s="33">
        <f t="shared" si="21"/>
        <v>0.10112091232612386</v>
      </c>
      <c r="Q44" s="33">
        <f>L44*0.15</f>
        <v>616.02029318636016</v>
      </c>
      <c r="R44" s="33">
        <f t="shared" si="14"/>
        <v>4106.8019545757343</v>
      </c>
      <c r="S44" s="33">
        <f t="shared" si="15"/>
        <v>3733.4563223415757</v>
      </c>
      <c r="T44" s="33">
        <f t="shared" si="16"/>
        <v>108.49688771567153</v>
      </c>
      <c r="U44" s="33">
        <f t="shared" si="17"/>
        <v>87.37415274760076</v>
      </c>
      <c r="V44" s="33">
        <f t="shared" si="22"/>
        <v>21.122734968070773</v>
      </c>
      <c r="W44" s="33"/>
    </row>
    <row r="45" spans="2:23">
      <c r="B45" s="33"/>
      <c r="C45" s="33"/>
      <c r="D45">
        <f t="shared" si="7"/>
        <v>38</v>
      </c>
      <c r="F45" s="33">
        <f t="shared" si="8"/>
        <v>4312.1420523045208</v>
      </c>
      <c r="G45" s="33">
        <f t="shared" si="9"/>
        <v>3920.1291384586548</v>
      </c>
      <c r="H45" s="33">
        <f t="shared" si="10"/>
        <v>118.79189352452843</v>
      </c>
      <c r="I45" s="33">
        <f t="shared" si="11"/>
        <v>72.07032704952222</v>
      </c>
      <c r="J45" s="33">
        <f t="shared" si="18"/>
        <v>46.721566475006213</v>
      </c>
      <c r="K45" s="33"/>
      <c r="L45" s="33">
        <f t="shared" si="12"/>
        <v>4312.1420523045208</v>
      </c>
      <c r="M45" s="33">
        <f t="shared" si="13"/>
        <v>3920.1291384586548</v>
      </c>
      <c r="N45" s="33">
        <f t="shared" si="19"/>
        <v>108.99157067838181</v>
      </c>
      <c r="O45" s="33">
        <f>-(M45*$C$71+$D$71+$E$71)</f>
        <v>105.16539372043935</v>
      </c>
      <c r="P45" s="33">
        <f>N45-O45</f>
        <v>3.8261769579424509</v>
      </c>
      <c r="Q45" s="33"/>
      <c r="R45" s="33">
        <f t="shared" si="14"/>
        <v>4312.1420523045208</v>
      </c>
      <c r="S45" s="33">
        <f t="shared" si="15"/>
        <v>3920.1291384586548</v>
      </c>
      <c r="T45" s="33">
        <f t="shared" si="16"/>
        <v>113.89173210145512</v>
      </c>
      <c r="U45" s="33">
        <f t="shared" si="17"/>
        <v>88.617860384980787</v>
      </c>
      <c r="V45" s="33">
        <f>T45-U45</f>
        <v>25.273871716474332</v>
      </c>
      <c r="W45" s="33"/>
    </row>
    <row r="46" spans="2:23">
      <c r="B46" s="33"/>
      <c r="C46" s="33"/>
      <c r="D46">
        <f t="shared" si="7"/>
        <v>39</v>
      </c>
      <c r="F46" s="33">
        <f t="shared" si="8"/>
        <v>4527.7491549197466</v>
      </c>
      <c r="G46" s="33">
        <f t="shared" si="9"/>
        <v>4116.1355953815873</v>
      </c>
      <c r="H46" s="33">
        <f t="shared" si="10"/>
        <v>124.70148820075485</v>
      </c>
      <c r="I46" s="33">
        <f t="shared" si="11"/>
        <v>73.17384340199834</v>
      </c>
      <c r="J46" s="33">
        <f t="shared" si="18"/>
        <v>51.527644798756512</v>
      </c>
      <c r="K46" s="33"/>
      <c r="L46" s="33">
        <f t="shared" si="12"/>
        <v>4527.7491549197466</v>
      </c>
      <c r="M46" s="33">
        <f t="shared" si="13"/>
        <v>4116.1355953815873</v>
      </c>
      <c r="N46" s="33">
        <f t="shared" si="19"/>
        <v>114.41114921230088</v>
      </c>
      <c r="O46" s="33">
        <f t="shared" si="20"/>
        <v>106.67366340646132</v>
      </c>
      <c r="P46" s="33">
        <f t="shared" si="21"/>
        <v>7.7374858058395688</v>
      </c>
      <c r="Q46" s="33"/>
      <c r="R46" s="33">
        <f t="shared" si="14"/>
        <v>4527.7491549197466</v>
      </c>
      <c r="S46" s="33">
        <f t="shared" si="15"/>
        <v>4116.1355953815873</v>
      </c>
      <c r="T46" s="33">
        <f t="shared" si="16"/>
        <v>119.55631870652786</v>
      </c>
      <c r="U46" s="33">
        <f t="shared" si="17"/>
        <v>89.923753404229828</v>
      </c>
      <c r="V46" s="33">
        <f t="shared" ref="V46:V67" si="23">T46-U46</f>
        <v>29.632565302298033</v>
      </c>
      <c r="W46" s="33"/>
    </row>
    <row r="47" spans="2:23">
      <c r="B47" s="33"/>
      <c r="C47" s="33"/>
      <c r="D47">
        <f t="shared" si="7"/>
        <v>40</v>
      </c>
      <c r="F47" s="33">
        <f t="shared" si="8"/>
        <v>4754.136612665734</v>
      </c>
      <c r="G47" s="33">
        <f t="shared" si="9"/>
        <v>4321.9423751506665</v>
      </c>
      <c r="H47" s="33">
        <f t="shared" si="10"/>
        <v>130.90656261079258</v>
      </c>
      <c r="I47" s="33">
        <f t="shared" si="11"/>
        <v>74.332535572098251</v>
      </c>
      <c r="J47" s="33">
        <f t="shared" si="18"/>
        <v>56.574027038694325</v>
      </c>
      <c r="K47" s="33"/>
      <c r="L47" s="33">
        <f t="shared" si="12"/>
        <v>4754.136612665734</v>
      </c>
      <c r="M47" s="33">
        <f t="shared" si="13"/>
        <v>4321.9423751506665</v>
      </c>
      <c r="N47" s="33">
        <f t="shared" si="19"/>
        <v>120.10170667291592</v>
      </c>
      <c r="O47" s="33">
        <f t="shared" si="20"/>
        <v>108.25734657678439</v>
      </c>
      <c r="P47" s="33">
        <f t="shared" si="21"/>
        <v>11.844360096131538</v>
      </c>
      <c r="Q47" s="33"/>
      <c r="R47" s="33">
        <f t="shared" si="14"/>
        <v>4754.136612665734</v>
      </c>
      <c r="S47" s="33">
        <f t="shared" si="15"/>
        <v>4321.9423751506665</v>
      </c>
      <c r="T47" s="33">
        <f t="shared" si="16"/>
        <v>125.50413464185425</v>
      </c>
      <c r="U47" s="33">
        <f t="shared" si="17"/>
        <v>91.294941074441311</v>
      </c>
      <c r="V47" s="33">
        <f t="shared" si="23"/>
        <v>34.209193567412939</v>
      </c>
      <c r="W47" s="33"/>
    </row>
    <row r="48" spans="2:23">
      <c r="B48" s="33"/>
      <c r="C48" s="33"/>
      <c r="D48">
        <f t="shared" si="7"/>
        <v>41</v>
      </c>
      <c r="F48" s="33">
        <f t="shared" si="8"/>
        <v>4991.8434432990207</v>
      </c>
      <c r="G48" s="33">
        <f t="shared" si="9"/>
        <v>4538.0394939081998</v>
      </c>
      <c r="H48" s="33">
        <f t="shared" si="10"/>
        <v>137.42189074133222</v>
      </c>
      <c r="I48" s="33">
        <f t="shared" si="11"/>
        <v>75.54916235070317</v>
      </c>
      <c r="J48" s="33">
        <f t="shared" si="18"/>
        <v>61.872728390629049</v>
      </c>
      <c r="K48" s="33"/>
      <c r="L48" s="33">
        <f t="shared" si="12"/>
        <v>4991.8434432990207</v>
      </c>
      <c r="M48" s="33">
        <f t="shared" si="13"/>
        <v>4538.0394939081998</v>
      </c>
      <c r="N48" s="33">
        <f t="shared" si="19"/>
        <v>126.07679200656172</v>
      </c>
      <c r="O48" s="33">
        <f t="shared" si="20"/>
        <v>109.9202139056236</v>
      </c>
      <c r="P48" s="33">
        <f t="shared" si="21"/>
        <v>16.15657810093812</v>
      </c>
      <c r="Q48" s="33"/>
      <c r="R48" s="33">
        <f t="shared" si="14"/>
        <v>4991.8434432990207</v>
      </c>
      <c r="S48" s="33">
        <f t="shared" si="15"/>
        <v>4538.0394939081998</v>
      </c>
      <c r="T48" s="33">
        <f t="shared" si="16"/>
        <v>131.74934137394698</v>
      </c>
      <c r="U48" s="33">
        <f t="shared" si="17"/>
        <v>92.734688128163384</v>
      </c>
      <c r="V48" s="33">
        <f t="shared" si="23"/>
        <v>39.014653245783592</v>
      </c>
      <c r="W48" s="33"/>
    </row>
    <row r="49" spans="2:23">
      <c r="B49" s="33"/>
      <c r="C49" s="33"/>
      <c r="D49">
        <f t="shared" si="7"/>
        <v>42</v>
      </c>
      <c r="F49" s="33">
        <f t="shared" si="8"/>
        <v>5241.4356154639718</v>
      </c>
      <c r="G49" s="33">
        <f t="shared" si="9"/>
        <v>4764.9414686036098</v>
      </c>
      <c r="H49" s="33">
        <f t="shared" si="10"/>
        <v>144.26298527839882</v>
      </c>
      <c r="I49" s="33">
        <f t="shared" si="11"/>
        <v>76.826620468238318</v>
      </c>
      <c r="J49" s="33">
        <f t="shared" si="18"/>
        <v>67.436364810160498</v>
      </c>
      <c r="K49" s="33"/>
      <c r="L49" s="33">
        <f t="shared" si="12"/>
        <v>5241.4356154639718</v>
      </c>
      <c r="M49" s="33">
        <f t="shared" si="13"/>
        <v>4764.9414686036098</v>
      </c>
      <c r="N49" s="33">
        <f t="shared" si="19"/>
        <v>132.35063160688981</v>
      </c>
      <c r="O49" s="33">
        <f t="shared" si="20"/>
        <v>111.66622460090478</v>
      </c>
      <c r="P49" s="33">
        <f t="shared" si="21"/>
        <v>20.684407005985022</v>
      </c>
      <c r="Q49" s="33"/>
      <c r="R49" s="33">
        <f t="shared" si="14"/>
        <v>5241.4356154639718</v>
      </c>
      <c r="S49" s="33">
        <f t="shared" si="15"/>
        <v>4764.9414686036098</v>
      </c>
      <c r="T49" s="33">
        <f t="shared" si="16"/>
        <v>138.3068084426443</v>
      </c>
      <c r="U49" s="33">
        <f t="shared" si="17"/>
        <v>94.246422534571551</v>
      </c>
      <c r="V49" s="33">
        <f t="shared" si="23"/>
        <v>44.060385908072746</v>
      </c>
      <c r="W49" s="33"/>
    </row>
    <row r="50" spans="2:23">
      <c r="B50" s="33"/>
      <c r="C50" s="33"/>
      <c r="D50">
        <f t="shared" si="7"/>
        <v>43</v>
      </c>
      <c r="F50" s="33">
        <f t="shared" ref="F50:F67" si="24">F49*(1+$B$3)</f>
        <v>5503.5073962371707</v>
      </c>
      <c r="G50" s="33">
        <f t="shared" ref="G50:G67" si="25">G49*(1+$B$3)</f>
        <v>5003.1885420337903</v>
      </c>
      <c r="H50" s="33">
        <f t="shared" ref="H50:H67" si="26">G50*$B$70+$B$74</f>
        <v>151.44613454231876</v>
      </c>
      <c r="I50" s="33">
        <f t="shared" ref="I50:I67" si="27">-(G50*$C$70+$D$70+$E$70)</f>
        <v>78.167951491650243</v>
      </c>
      <c r="J50" s="33">
        <f t="shared" si="18"/>
        <v>73.278183050668517</v>
      </c>
      <c r="K50" s="33"/>
      <c r="L50" s="33">
        <f t="shared" ref="L50:L67" si="28">L49*(1+$B$3)</f>
        <v>5503.5073962371707</v>
      </c>
      <c r="M50" s="33">
        <f t="shared" ref="M50:M67" si="29">M49*(1+$B$3)</f>
        <v>5003.1885420337903</v>
      </c>
      <c r="N50" s="33">
        <f t="shared" si="19"/>
        <v>138.9381631872343</v>
      </c>
      <c r="O50" s="33">
        <f t="shared" si="20"/>
        <v>113.49953583095002</v>
      </c>
      <c r="P50" s="33">
        <f t="shared" si="21"/>
        <v>25.438627356284272</v>
      </c>
      <c r="Q50" s="33"/>
      <c r="R50" s="33">
        <f t="shared" ref="R50:R67" si="30">AVERAGE(F50,L50)</f>
        <v>5503.5073962371707</v>
      </c>
      <c r="S50" s="33">
        <f t="shared" ref="S50:S67" si="31">AVERAGE(G50,M50)</f>
        <v>5003.1885420337903</v>
      </c>
      <c r="T50" s="33">
        <f t="shared" ref="T50:T67" si="32">AVERAGE(H50,N50)</f>
        <v>145.19214886477653</v>
      </c>
      <c r="U50" s="33">
        <f t="shared" si="17"/>
        <v>95.833743661300133</v>
      </c>
      <c r="V50" s="33">
        <f t="shared" si="23"/>
        <v>49.358405203476394</v>
      </c>
      <c r="W50" s="33"/>
    </row>
    <row r="51" spans="2:23">
      <c r="B51" s="33"/>
      <c r="C51" s="33"/>
      <c r="D51">
        <f t="shared" si="7"/>
        <v>44</v>
      </c>
      <c r="F51" s="33">
        <f t="shared" si="24"/>
        <v>5778.6827660490299</v>
      </c>
      <c r="G51" s="33">
        <f t="shared" si="25"/>
        <v>5253.3479691354796</v>
      </c>
      <c r="H51" s="33">
        <f t="shared" si="26"/>
        <v>158.9884412694347</v>
      </c>
      <c r="I51" s="33">
        <f t="shared" si="27"/>
        <v>79.576349066232751</v>
      </c>
      <c r="J51" s="33">
        <f t="shared" si="18"/>
        <v>79.412092203201951</v>
      </c>
      <c r="K51" s="33"/>
      <c r="L51" s="33">
        <f t="shared" si="28"/>
        <v>5778.6827660490299</v>
      </c>
      <c r="M51" s="33">
        <f t="shared" si="29"/>
        <v>5253.3479691354796</v>
      </c>
      <c r="N51" s="33">
        <f t="shared" si="19"/>
        <v>145.85507134659602</v>
      </c>
      <c r="O51" s="33">
        <f t="shared" si="20"/>
        <v>115.42451262249753</v>
      </c>
      <c r="P51" s="33">
        <f t="shared" si="21"/>
        <v>30.430558724098489</v>
      </c>
      <c r="Q51" s="33"/>
      <c r="R51" s="33">
        <f t="shared" si="30"/>
        <v>5778.6827660490299</v>
      </c>
      <c r="S51" s="33">
        <f t="shared" si="31"/>
        <v>5253.3479691354796</v>
      </c>
      <c r="T51" s="33">
        <f t="shared" si="32"/>
        <v>152.42175630801535</v>
      </c>
      <c r="U51" s="33">
        <f t="shared" si="17"/>
        <v>97.500430844365141</v>
      </c>
      <c r="V51" s="33">
        <f t="shared" si="23"/>
        <v>54.921325463650206</v>
      </c>
      <c r="W51" s="33"/>
    </row>
    <row r="52" spans="2:23">
      <c r="B52" s="33"/>
      <c r="C52" s="33"/>
      <c r="D52">
        <f t="shared" si="7"/>
        <v>45</v>
      </c>
      <c r="F52" s="33">
        <f t="shared" si="24"/>
        <v>6067.6169043514819</v>
      </c>
      <c r="G52" s="33">
        <f t="shared" si="25"/>
        <v>5516.0153675922538</v>
      </c>
      <c r="H52" s="33">
        <f t="shared" si="26"/>
        <v>166.90786333290646</v>
      </c>
      <c r="I52" s="33">
        <f t="shared" si="27"/>
        <v>81.055166519544386</v>
      </c>
      <c r="J52" s="33">
        <f t="shared" si="18"/>
        <v>85.852696813362073</v>
      </c>
      <c r="K52" s="33"/>
      <c r="L52" s="33">
        <f t="shared" si="28"/>
        <v>6067.6169043514819</v>
      </c>
      <c r="M52" s="33">
        <f t="shared" si="29"/>
        <v>5516.0153675922538</v>
      </c>
      <c r="N52" s="33">
        <f t="shared" si="19"/>
        <v>153.11782491392583</v>
      </c>
      <c r="O52" s="33">
        <f t="shared" si="20"/>
        <v>117.44573825362241</v>
      </c>
      <c r="P52" s="33">
        <f t="shared" si="21"/>
        <v>35.672086660303421</v>
      </c>
      <c r="Q52" s="33"/>
      <c r="R52" s="33">
        <f t="shared" si="30"/>
        <v>6067.6169043514819</v>
      </c>
      <c r="S52" s="33">
        <f t="shared" si="31"/>
        <v>5516.0153675922538</v>
      </c>
      <c r="T52" s="33">
        <f t="shared" si="32"/>
        <v>160.01284412341613</v>
      </c>
      <c r="U52" s="33">
        <f t="shared" si="17"/>
        <v>99.25045238658339</v>
      </c>
      <c r="V52" s="33">
        <f t="shared" si="23"/>
        <v>60.76239173683274</v>
      </c>
      <c r="W52" s="33"/>
    </row>
    <row r="53" spans="2:23">
      <c r="B53" s="33"/>
      <c r="C53" s="33"/>
      <c r="D53">
        <f t="shared" si="7"/>
        <v>46</v>
      </c>
      <c r="F53" s="33">
        <f t="shared" si="24"/>
        <v>6370.9977495690564</v>
      </c>
      <c r="G53" s="33">
        <f t="shared" si="25"/>
        <v>5791.816135971867</v>
      </c>
      <c r="H53" s="33">
        <f t="shared" si="26"/>
        <v>175.22325649955178</v>
      </c>
      <c r="I53" s="33">
        <f t="shared" si="27"/>
        <v>82.607924845521609</v>
      </c>
      <c r="J53" s="33">
        <f t="shared" si="18"/>
        <v>92.615331654030172</v>
      </c>
      <c r="K53" s="33"/>
      <c r="L53" s="33">
        <f t="shared" si="28"/>
        <v>6370.9977495690564</v>
      </c>
      <c r="M53" s="33">
        <f t="shared" si="29"/>
        <v>5791.816135971867</v>
      </c>
      <c r="N53" s="33">
        <f t="shared" si="19"/>
        <v>160.74371615962212</v>
      </c>
      <c r="O53" s="33">
        <f t="shared" si="20"/>
        <v>119.56802516630353</v>
      </c>
      <c r="P53" s="33">
        <f t="shared" si="21"/>
        <v>41.175690993318597</v>
      </c>
      <c r="Q53" s="33"/>
      <c r="R53" s="33">
        <f t="shared" si="30"/>
        <v>6370.9977495690564</v>
      </c>
      <c r="S53" s="33">
        <f t="shared" si="31"/>
        <v>5791.816135971867</v>
      </c>
      <c r="T53" s="33">
        <f t="shared" si="32"/>
        <v>167.98348632958695</v>
      </c>
      <c r="U53" s="33">
        <f t="shared" si="17"/>
        <v>101.08797500591257</v>
      </c>
      <c r="V53" s="33">
        <f t="shared" si="23"/>
        <v>66.895511323674384</v>
      </c>
      <c r="W53" s="33"/>
    </row>
    <row r="54" spans="2:23">
      <c r="B54" s="33"/>
      <c r="C54" s="33"/>
      <c r="D54">
        <f t="shared" si="7"/>
        <v>47</v>
      </c>
      <c r="F54" s="33">
        <f t="shared" si="24"/>
        <v>6689.5476370475099</v>
      </c>
      <c r="G54" s="33">
        <f t="shared" si="25"/>
        <v>6081.4069427704608</v>
      </c>
      <c r="H54" s="33">
        <f t="shared" si="26"/>
        <v>183.9544193245294</v>
      </c>
      <c r="I54" s="33">
        <f t="shared" si="27"/>
        <v>84.238321087797686</v>
      </c>
      <c r="J54" s="33">
        <f t="shared" si="18"/>
        <v>99.71609823673171</v>
      </c>
      <c r="K54" s="33"/>
      <c r="L54" s="33">
        <f t="shared" si="28"/>
        <v>6689.5476370475099</v>
      </c>
      <c r="M54" s="33">
        <f t="shared" si="29"/>
        <v>6081.4069427704608</v>
      </c>
      <c r="N54" s="33">
        <f t="shared" si="19"/>
        <v>168.75090196760323</v>
      </c>
      <c r="O54" s="33">
        <f t="shared" si="20"/>
        <v>121.7964264246187</v>
      </c>
      <c r="P54" s="33">
        <f t="shared" si="21"/>
        <v>46.954475542984525</v>
      </c>
      <c r="Q54" s="33"/>
      <c r="R54" s="33">
        <f t="shared" si="30"/>
        <v>6689.5476370475099</v>
      </c>
      <c r="S54" s="33">
        <f t="shared" si="31"/>
        <v>6081.4069427704608</v>
      </c>
      <c r="T54" s="33">
        <f t="shared" si="32"/>
        <v>176.35266064606631</v>
      </c>
      <c r="U54" s="33">
        <f t="shared" si="17"/>
        <v>103.0173737562082</v>
      </c>
      <c r="V54" s="33">
        <f t="shared" si="23"/>
        <v>73.335286889858111</v>
      </c>
      <c r="W54" s="33"/>
    </row>
    <row r="55" spans="2:23">
      <c r="B55" s="33"/>
      <c r="C55" s="33"/>
      <c r="D55">
        <f t="shared" si="7"/>
        <v>48</v>
      </c>
      <c r="F55" s="33">
        <f t="shared" si="24"/>
        <v>7024.0250188998853</v>
      </c>
      <c r="G55" s="33">
        <f t="shared" si="25"/>
        <v>6385.4772899089839</v>
      </c>
      <c r="H55" s="33">
        <f t="shared" si="26"/>
        <v>193.12214029075585</v>
      </c>
      <c r="I55" s="33">
        <f t="shared" si="27"/>
        <v>85.950237142187575</v>
      </c>
      <c r="J55" s="33">
        <f t="shared" si="18"/>
        <v>107.17190314856828</v>
      </c>
      <c r="K55" s="33"/>
      <c r="L55" s="33">
        <f t="shared" si="28"/>
        <v>7024.0250188998853</v>
      </c>
      <c r="M55" s="33">
        <f t="shared" si="29"/>
        <v>6385.4772899089839</v>
      </c>
      <c r="N55" s="33">
        <f t="shared" si="19"/>
        <v>177.15844706598341</v>
      </c>
      <c r="O55" s="33">
        <f t="shared" si="20"/>
        <v>124.13624774584963</v>
      </c>
      <c r="P55" s="33">
        <f t="shared" si="21"/>
        <v>53.02219932013378</v>
      </c>
      <c r="Q55" s="33"/>
      <c r="R55" s="33">
        <f t="shared" si="30"/>
        <v>7024.0250188998853</v>
      </c>
      <c r="S55" s="33">
        <f t="shared" si="31"/>
        <v>6385.4772899089839</v>
      </c>
      <c r="T55" s="33">
        <f t="shared" si="32"/>
        <v>185.14029367836963</v>
      </c>
      <c r="U55" s="33">
        <f t="shared" si="17"/>
        <v>105.0432424440186</v>
      </c>
      <c r="V55" s="33">
        <f t="shared" si="23"/>
        <v>80.097051234351028</v>
      </c>
      <c r="W55" s="33"/>
    </row>
    <row r="56" spans="2:23">
      <c r="B56" s="33"/>
      <c r="C56" s="33"/>
      <c r="D56">
        <f t="shared" si="7"/>
        <v>49</v>
      </c>
      <c r="F56" s="33">
        <f t="shared" si="24"/>
        <v>7375.2262698448794</v>
      </c>
      <c r="G56" s="33">
        <f t="shared" si="25"/>
        <v>6704.7511544044337</v>
      </c>
      <c r="H56" s="33">
        <f t="shared" si="26"/>
        <v>202.74824730529366</v>
      </c>
      <c r="I56" s="33">
        <f t="shared" si="27"/>
        <v>87.747748999296959</v>
      </c>
      <c r="J56" s="33">
        <f t="shared" si="18"/>
        <v>115.0004983059967</v>
      </c>
      <c r="K56" s="33"/>
      <c r="L56" s="33">
        <f t="shared" si="28"/>
        <v>7375.2262698448794</v>
      </c>
      <c r="M56" s="33">
        <f t="shared" si="29"/>
        <v>6704.7511544044337</v>
      </c>
      <c r="N56" s="33">
        <f t="shared" si="19"/>
        <v>185.9863694192826</v>
      </c>
      <c r="O56" s="33">
        <f t="shared" si="20"/>
        <v>126.59306013314213</v>
      </c>
      <c r="P56" s="33">
        <f t="shared" si="21"/>
        <v>59.393309286140465</v>
      </c>
      <c r="Q56" s="33"/>
      <c r="R56" s="33">
        <f t="shared" si="30"/>
        <v>7375.2262698448794</v>
      </c>
      <c r="S56" s="33">
        <f t="shared" si="31"/>
        <v>6704.7511544044337</v>
      </c>
      <c r="T56" s="33">
        <f t="shared" si="32"/>
        <v>194.36730836228813</v>
      </c>
      <c r="U56" s="33">
        <f t="shared" si="17"/>
        <v>107.17040456621955</v>
      </c>
      <c r="V56" s="33">
        <f t="shared" si="23"/>
        <v>87.196903796068582</v>
      </c>
      <c r="W56" s="33"/>
    </row>
    <row r="57" spans="2:23">
      <c r="B57" s="33"/>
      <c r="C57" s="33"/>
      <c r="D57">
        <f t="shared" si="7"/>
        <v>50</v>
      </c>
      <c r="F57" s="33">
        <f t="shared" si="24"/>
        <v>7743.9875833371234</v>
      </c>
      <c r="G57" s="33">
        <f t="shared" si="25"/>
        <v>7039.9887121246556</v>
      </c>
      <c r="H57" s="33">
        <f t="shared" si="26"/>
        <v>212.85565967055837</v>
      </c>
      <c r="I57" s="33">
        <f t="shared" si="27"/>
        <v>89.635136449261807</v>
      </c>
      <c r="J57" s="33">
        <f t="shared" si="18"/>
        <v>123.22052322129656</v>
      </c>
      <c r="K57" s="33"/>
      <c r="L57" s="33">
        <f t="shared" si="28"/>
        <v>7743.9875833371234</v>
      </c>
      <c r="M57" s="33">
        <f t="shared" si="29"/>
        <v>7039.9887121246556</v>
      </c>
      <c r="N57" s="33">
        <f t="shared" si="19"/>
        <v>195.25568789024672</v>
      </c>
      <c r="O57" s="33">
        <f t="shared" si="20"/>
        <v>129.17271313979924</v>
      </c>
      <c r="P57" s="33">
        <f t="shared" si="21"/>
        <v>66.082974750447477</v>
      </c>
      <c r="Q57" s="33"/>
      <c r="R57" s="33">
        <f t="shared" si="30"/>
        <v>7743.9875833371234</v>
      </c>
      <c r="S57" s="33">
        <f t="shared" si="31"/>
        <v>7039.9887121246556</v>
      </c>
      <c r="T57" s="33">
        <f t="shared" si="32"/>
        <v>204.05567378040254</v>
      </c>
      <c r="U57" s="33">
        <f t="shared" si="17"/>
        <v>109.40392479453052</v>
      </c>
      <c r="V57" s="33">
        <f t="shared" si="23"/>
        <v>94.651748985872018</v>
      </c>
      <c r="W57" s="33"/>
    </row>
    <row r="58" spans="2:23">
      <c r="B58" s="33"/>
      <c r="C58" s="33"/>
      <c r="D58">
        <f t="shared" si="7"/>
        <v>51</v>
      </c>
      <c r="F58" s="33">
        <f t="shared" si="24"/>
        <v>8131.1869625039799</v>
      </c>
      <c r="G58" s="33">
        <f t="shared" si="25"/>
        <v>7391.9881477308891</v>
      </c>
      <c r="H58" s="33">
        <f t="shared" si="26"/>
        <v>223.46844265408629</v>
      </c>
      <c r="I58" s="33">
        <f t="shared" si="27"/>
        <v>91.616893271724905</v>
      </c>
      <c r="J58" s="33">
        <f t="shared" si="18"/>
        <v>131.85154938236138</v>
      </c>
      <c r="K58" s="33"/>
      <c r="L58" s="33">
        <f t="shared" si="28"/>
        <v>8131.1869625039799</v>
      </c>
      <c r="M58" s="33">
        <f t="shared" si="29"/>
        <v>7391.9881477308891</v>
      </c>
      <c r="N58" s="33">
        <f t="shared" si="19"/>
        <v>204.9884722847591</v>
      </c>
      <c r="O58" s="33">
        <f t="shared" si="20"/>
        <v>131.88134879678921</v>
      </c>
      <c r="P58" s="33">
        <f t="shared" si="21"/>
        <v>73.107123487969886</v>
      </c>
      <c r="Q58" s="33"/>
      <c r="R58" s="33">
        <f t="shared" si="30"/>
        <v>8131.1869625039799</v>
      </c>
      <c r="S58" s="33">
        <f t="shared" si="31"/>
        <v>7391.9881477308891</v>
      </c>
      <c r="T58" s="33">
        <f t="shared" si="32"/>
        <v>214.22845746942269</v>
      </c>
      <c r="U58" s="33">
        <f t="shared" si="17"/>
        <v>111.74912103425706</v>
      </c>
      <c r="V58" s="33">
        <f t="shared" si="23"/>
        <v>102.47933643516564</v>
      </c>
      <c r="W58" s="33"/>
    </row>
    <row r="59" spans="2:23">
      <c r="B59" s="33"/>
      <c r="C59" s="33"/>
      <c r="D59">
        <f t="shared" si="7"/>
        <v>52</v>
      </c>
      <c r="F59" s="33">
        <f t="shared" si="24"/>
        <v>8537.7463106291798</v>
      </c>
      <c r="G59" s="33">
        <f t="shared" si="25"/>
        <v>7761.587555117434</v>
      </c>
      <c r="H59" s="33">
        <f t="shared" si="26"/>
        <v>234.61186478679062</v>
      </c>
      <c r="I59" s="33">
        <f t="shared" si="27"/>
        <v>93.697737935311153</v>
      </c>
      <c r="J59" s="33">
        <f t="shared" si="18"/>
        <v>140.91412685147947</v>
      </c>
      <c r="K59" s="33"/>
      <c r="L59" s="33">
        <f t="shared" si="28"/>
        <v>8537.7463106291798</v>
      </c>
      <c r="M59" s="33">
        <f t="shared" si="29"/>
        <v>7761.587555117434</v>
      </c>
      <c r="N59" s="33">
        <f t="shared" si="19"/>
        <v>215.20789589899707</v>
      </c>
      <c r="O59" s="33">
        <f t="shared" si="20"/>
        <v>134.72541623662866</v>
      </c>
      <c r="P59" s="33">
        <f t="shared" si="21"/>
        <v>80.482479662368405</v>
      </c>
      <c r="Q59" s="33"/>
      <c r="R59" s="33">
        <f t="shared" si="30"/>
        <v>8537.7463106291798</v>
      </c>
      <c r="S59" s="33">
        <f t="shared" si="31"/>
        <v>7761.587555117434</v>
      </c>
      <c r="T59" s="33">
        <f t="shared" si="32"/>
        <v>224.90988034289384</v>
      </c>
      <c r="U59" s="33">
        <f t="shared" si="17"/>
        <v>114.21157708596991</v>
      </c>
      <c r="V59" s="33">
        <f t="shared" si="23"/>
        <v>110.69830325692394</v>
      </c>
      <c r="W59" s="33"/>
    </row>
    <row r="60" spans="2:23">
      <c r="B60" s="33"/>
      <c r="C60" s="33"/>
      <c r="D60">
        <f t="shared" si="7"/>
        <v>53</v>
      </c>
      <c r="F60" s="33">
        <f t="shared" si="24"/>
        <v>8964.6336261606393</v>
      </c>
      <c r="G60" s="33">
        <f t="shared" si="25"/>
        <v>8149.666932873306</v>
      </c>
      <c r="H60" s="33">
        <f t="shared" si="26"/>
        <v>246.31245802613017</v>
      </c>
      <c r="I60" s="33">
        <f t="shared" si="27"/>
        <v>95.882624832076715</v>
      </c>
      <c r="J60" s="33">
        <f t="shared" si="18"/>
        <v>150.42983319405346</v>
      </c>
      <c r="K60" s="33"/>
      <c r="L60" s="33">
        <f t="shared" si="28"/>
        <v>8964.6336261606393</v>
      </c>
      <c r="M60" s="33">
        <f t="shared" si="29"/>
        <v>8149.666932873306</v>
      </c>
      <c r="N60" s="33">
        <f>M60*$B$71+$B$74</f>
        <v>225.93829069394693</v>
      </c>
      <c r="O60" s="33">
        <f t="shared" si="20"/>
        <v>137.71168704846011</v>
      </c>
      <c r="P60" s="33">
        <f t="shared" si="21"/>
        <v>88.226603645486819</v>
      </c>
      <c r="Q60" s="33"/>
      <c r="R60" s="33">
        <f t="shared" si="30"/>
        <v>8964.6336261606393</v>
      </c>
      <c r="S60" s="33">
        <f t="shared" si="31"/>
        <v>8149.666932873306</v>
      </c>
      <c r="T60" s="33">
        <f t="shared" si="32"/>
        <v>236.12537436003856</v>
      </c>
      <c r="U60" s="33">
        <f t="shared" si="17"/>
        <v>116.79715594026841</v>
      </c>
      <c r="V60" s="33">
        <f t="shared" si="23"/>
        <v>119.32821841977015</v>
      </c>
      <c r="W60" s="33"/>
    </row>
    <row r="61" spans="2:23">
      <c r="B61" s="33"/>
      <c r="C61" s="33"/>
      <c r="D61">
        <f t="shared" si="7"/>
        <v>54</v>
      </c>
      <c r="F61" s="33">
        <f t="shared" si="24"/>
        <v>9412.8653074686717</v>
      </c>
      <c r="G61" s="33">
        <f t="shared" si="25"/>
        <v>8557.1502795169708</v>
      </c>
      <c r="H61" s="33">
        <f t="shared" si="26"/>
        <v>258.59808092743668</v>
      </c>
      <c r="I61" s="33">
        <f t="shared" si="27"/>
        <v>98.176756073680536</v>
      </c>
      <c r="J61" s="33">
        <f t="shared" si="18"/>
        <v>160.42132485375615</v>
      </c>
      <c r="K61" s="33"/>
      <c r="L61" s="33">
        <f t="shared" si="28"/>
        <v>9412.8653074686717</v>
      </c>
      <c r="M61" s="33">
        <f t="shared" si="29"/>
        <v>8557.1502795169708</v>
      </c>
      <c r="N61" s="33">
        <f t="shared" si="19"/>
        <v>237.20520522864425</v>
      </c>
      <c r="O61" s="33">
        <f t="shared" si="20"/>
        <v>140.8472714008831</v>
      </c>
      <c r="P61" s="33">
        <f t="shared" si="21"/>
        <v>96.357933827761144</v>
      </c>
      <c r="Q61" s="33"/>
      <c r="R61" s="33">
        <f t="shared" si="30"/>
        <v>9412.8653074686717</v>
      </c>
      <c r="S61" s="33">
        <f t="shared" si="31"/>
        <v>8557.1502795169708</v>
      </c>
      <c r="T61" s="33">
        <f t="shared" si="32"/>
        <v>247.90164307804048</v>
      </c>
      <c r="U61" s="33">
        <f t="shared" si="17"/>
        <v>119.51201373728182</v>
      </c>
      <c r="V61" s="33">
        <f t="shared" si="23"/>
        <v>128.38962934075866</v>
      </c>
      <c r="W61" s="33"/>
    </row>
    <row r="62" spans="2:23">
      <c r="B62" s="33"/>
      <c r="C62" s="33"/>
      <c r="D62">
        <f t="shared" si="7"/>
        <v>55</v>
      </c>
      <c r="F62" s="33">
        <f t="shared" si="24"/>
        <v>9883.5085728421054</v>
      </c>
      <c r="G62" s="33">
        <f t="shared" si="25"/>
        <v>8985.0077934928195</v>
      </c>
      <c r="H62" s="33">
        <f t="shared" si="26"/>
        <v>271.49798497380851</v>
      </c>
      <c r="I62" s="33">
        <f t="shared" si="27"/>
        <v>100.58559387736457</v>
      </c>
      <c r="J62" s="33">
        <f t="shared" si="18"/>
        <v>170.91239109644394</v>
      </c>
      <c r="K62" s="33"/>
      <c r="L62" s="33">
        <f t="shared" si="28"/>
        <v>9883.5085728421054</v>
      </c>
      <c r="M62" s="33">
        <f t="shared" si="29"/>
        <v>8985.0077934928195</v>
      </c>
      <c r="N62" s="33">
        <f t="shared" si="19"/>
        <v>249.03546549007646</v>
      </c>
      <c r="O62" s="33">
        <f t="shared" si="20"/>
        <v>144.13963497092726</v>
      </c>
      <c r="P62" s="33">
        <f t="shared" si="21"/>
        <v>104.8958305191492</v>
      </c>
      <c r="Q62" s="33"/>
      <c r="R62" s="33">
        <f t="shared" si="30"/>
        <v>9883.5085728421054</v>
      </c>
      <c r="S62" s="33">
        <f t="shared" si="31"/>
        <v>8985.0077934928195</v>
      </c>
      <c r="T62" s="33">
        <f t="shared" si="32"/>
        <v>260.26672523194247</v>
      </c>
      <c r="U62" s="33">
        <f t="shared" si="17"/>
        <v>122.36261442414592</v>
      </c>
      <c r="V62" s="33">
        <f t="shared" si="23"/>
        <v>137.90411080779654</v>
      </c>
      <c r="W62" s="33"/>
    </row>
    <row r="63" spans="2:23">
      <c r="B63" s="33"/>
      <c r="C63" s="33"/>
      <c r="D63">
        <f t="shared" si="7"/>
        <v>56</v>
      </c>
      <c r="F63" s="33">
        <f t="shared" si="24"/>
        <v>10377.684001484211</v>
      </c>
      <c r="G63" s="33">
        <f t="shared" si="25"/>
        <v>9434.2581831674615</v>
      </c>
      <c r="H63" s="33">
        <f t="shared" si="26"/>
        <v>285.04288422249897</v>
      </c>
      <c r="I63" s="33">
        <f t="shared" si="27"/>
        <v>103.11487357123281</v>
      </c>
      <c r="J63" s="33">
        <f t="shared" si="18"/>
        <v>181.92801065126616</v>
      </c>
      <c r="K63" s="33"/>
      <c r="L63" s="33">
        <f t="shared" si="28"/>
        <v>10377.684001484211</v>
      </c>
      <c r="M63" s="33">
        <f t="shared" si="29"/>
        <v>9434.2581831674615</v>
      </c>
      <c r="N63" s="33">
        <f t="shared" si="19"/>
        <v>261.45723876458032</v>
      </c>
      <c r="O63" s="33">
        <f t="shared" si="20"/>
        <v>147.59661671947362</v>
      </c>
      <c r="P63" s="33">
        <f t="shared" si="21"/>
        <v>113.86062204510671</v>
      </c>
      <c r="Q63" s="33"/>
      <c r="R63" s="33">
        <f t="shared" si="30"/>
        <v>10377.684001484211</v>
      </c>
      <c r="S63" s="33">
        <f t="shared" si="31"/>
        <v>9434.2581831674615</v>
      </c>
      <c r="T63" s="33">
        <f t="shared" si="32"/>
        <v>273.25006149353965</v>
      </c>
      <c r="U63" s="33">
        <f t="shared" si="17"/>
        <v>125.35574514535321</v>
      </c>
      <c r="V63" s="33">
        <f t="shared" si="23"/>
        <v>147.89431634818644</v>
      </c>
      <c r="W63" s="33"/>
    </row>
    <row r="64" spans="2:23">
      <c r="B64" s="33"/>
      <c r="C64" s="33"/>
      <c r="D64">
        <f t="shared" si="7"/>
        <v>57</v>
      </c>
      <c r="F64" s="33">
        <f t="shared" si="24"/>
        <v>10896.568201558423</v>
      </c>
      <c r="G64" s="33">
        <f t="shared" si="25"/>
        <v>9905.9710923258353</v>
      </c>
      <c r="H64" s="33">
        <f t="shared" si="26"/>
        <v>299.26502843362397</v>
      </c>
      <c r="I64" s="33">
        <f t="shared" si="27"/>
        <v>105.77061724979444</v>
      </c>
      <c r="J64" s="33">
        <f t="shared" si="18"/>
        <v>193.49441118382953</v>
      </c>
      <c r="K64" s="33"/>
      <c r="L64" s="33">
        <f t="shared" si="28"/>
        <v>10896.568201558423</v>
      </c>
      <c r="M64" s="33">
        <f t="shared" si="29"/>
        <v>9905.9710923258353</v>
      </c>
      <c r="N64" s="33">
        <f t="shared" si="19"/>
        <v>274.50010070280939</v>
      </c>
      <c r="O64" s="33">
        <f t="shared" si="20"/>
        <v>151.22644755544732</v>
      </c>
      <c r="P64" s="33">
        <f t="shared" si="21"/>
        <v>123.27365314736207</v>
      </c>
      <c r="Q64" s="33"/>
      <c r="R64" s="33">
        <f t="shared" si="30"/>
        <v>10896.568201558423</v>
      </c>
      <c r="S64" s="33">
        <f t="shared" si="31"/>
        <v>9905.9710923258353</v>
      </c>
      <c r="T64" s="33">
        <f t="shared" si="32"/>
        <v>286.88256456821671</v>
      </c>
      <c r="U64" s="33">
        <f t="shared" si="17"/>
        <v>128.49853240262087</v>
      </c>
      <c r="V64" s="33">
        <f t="shared" si="23"/>
        <v>158.38403216559584</v>
      </c>
      <c r="W64" s="33"/>
    </row>
    <row r="65" spans="1:23">
      <c r="B65" s="33"/>
      <c r="C65" s="33"/>
      <c r="D65">
        <f t="shared" si="7"/>
        <v>58</v>
      </c>
      <c r="F65" s="33">
        <f t="shared" si="24"/>
        <v>11441.396611636344</v>
      </c>
      <c r="G65" s="33">
        <f t="shared" si="25"/>
        <v>10401.269646942128</v>
      </c>
      <c r="H65" s="33">
        <f t="shared" si="26"/>
        <v>314.1982798553052</v>
      </c>
      <c r="I65" s="33">
        <f t="shared" si="27"/>
        <v>108.55914811228418</v>
      </c>
      <c r="J65" s="33">
        <f t="shared" si="18"/>
        <v>205.63913174302104</v>
      </c>
      <c r="K65" s="33"/>
      <c r="L65" s="33">
        <f t="shared" si="28"/>
        <v>11441.396611636344</v>
      </c>
      <c r="M65" s="33">
        <f t="shared" si="29"/>
        <v>10401.269646942128</v>
      </c>
      <c r="N65" s="33">
        <f t="shared" si="19"/>
        <v>288.19510573794986</v>
      </c>
      <c r="O65" s="33">
        <f t="shared" si="20"/>
        <v>155.03776993321969</v>
      </c>
      <c r="P65" s="33">
        <f t="shared" si="21"/>
        <v>133.15733580473017</v>
      </c>
      <c r="Q65" s="33"/>
      <c r="R65" s="33">
        <f t="shared" si="30"/>
        <v>11441.396611636344</v>
      </c>
      <c r="S65" s="33">
        <f t="shared" si="31"/>
        <v>10401.269646942128</v>
      </c>
      <c r="T65" s="33">
        <f t="shared" si="32"/>
        <v>301.19669279662753</v>
      </c>
      <c r="U65" s="33">
        <f t="shared" si="17"/>
        <v>131.79845902275193</v>
      </c>
      <c r="V65" s="33">
        <f t="shared" si="23"/>
        <v>169.3982337738756</v>
      </c>
      <c r="W65" s="33"/>
    </row>
    <row r="66" spans="1:23">
      <c r="B66" s="33"/>
      <c r="C66" s="33"/>
      <c r="D66">
        <f t="shared" si="7"/>
        <v>59</v>
      </c>
      <c r="F66" s="33">
        <f t="shared" si="24"/>
        <v>12013.466442218161</v>
      </c>
      <c r="G66" s="33">
        <f t="shared" si="25"/>
        <v>10921.333129289234</v>
      </c>
      <c r="H66" s="33">
        <f t="shared" si="26"/>
        <v>329.87819384807045</v>
      </c>
      <c r="I66" s="33">
        <f t="shared" si="27"/>
        <v>111.48710551789839</v>
      </c>
      <c r="J66" s="33">
        <f t="shared" si="18"/>
        <v>218.39108833017207</v>
      </c>
      <c r="K66" s="33"/>
      <c r="L66" s="33">
        <f t="shared" si="28"/>
        <v>12013.466442218161</v>
      </c>
      <c r="M66" s="33">
        <f t="shared" si="29"/>
        <v>10921.333129289234</v>
      </c>
      <c r="N66" s="33">
        <f t="shared" si="19"/>
        <v>302.57486102484734</v>
      </c>
      <c r="O66" s="33">
        <f t="shared" si="20"/>
        <v>159.03965842988066</v>
      </c>
      <c r="P66" s="33">
        <f t="shared" si="21"/>
        <v>143.53520259496668</v>
      </c>
      <c r="Q66" s="33"/>
      <c r="R66" s="33">
        <f t="shared" si="30"/>
        <v>12013.466442218161</v>
      </c>
      <c r="S66" s="33">
        <f t="shared" si="31"/>
        <v>10921.333129289234</v>
      </c>
      <c r="T66" s="33">
        <f t="shared" si="32"/>
        <v>316.22652743645892</v>
      </c>
      <c r="U66" s="33">
        <f t="shared" si="17"/>
        <v>135.26338197388952</v>
      </c>
      <c r="V66" s="33">
        <f t="shared" si="23"/>
        <v>180.9631454625694</v>
      </c>
      <c r="W66" s="33"/>
    </row>
    <row r="67" spans="1:23">
      <c r="B67" s="33"/>
      <c r="C67" s="33"/>
      <c r="D67">
        <f t="shared" si="7"/>
        <v>60</v>
      </c>
      <c r="F67" s="33">
        <f t="shared" si="24"/>
        <v>12614.139764329069</v>
      </c>
      <c r="G67" s="33">
        <f t="shared" si="25"/>
        <v>11467.399785753696</v>
      </c>
      <c r="H67" s="33">
        <f t="shared" si="26"/>
        <v>346.34210354047394</v>
      </c>
      <c r="I67" s="33">
        <f t="shared" si="27"/>
        <v>114.5614607937933</v>
      </c>
      <c r="J67" s="33">
        <f t="shared" si="18"/>
        <v>231.78064274668066</v>
      </c>
      <c r="K67" s="33"/>
      <c r="L67" s="33">
        <f t="shared" si="28"/>
        <v>12614.139764329069</v>
      </c>
      <c r="M67" s="33">
        <f t="shared" si="29"/>
        <v>11467.399785753696</v>
      </c>
      <c r="N67" s="33">
        <f t="shared" si="19"/>
        <v>317.6736040760897</v>
      </c>
      <c r="O67" s="33">
        <f t="shared" si="20"/>
        <v>163.24164135137471</v>
      </c>
      <c r="P67" s="33">
        <f t="shared" si="21"/>
        <v>154.43196272471499</v>
      </c>
      <c r="Q67" s="33"/>
      <c r="R67" s="33">
        <f t="shared" si="30"/>
        <v>12614.139764329069</v>
      </c>
      <c r="S67" s="33">
        <f t="shared" si="31"/>
        <v>11467.399785753696</v>
      </c>
      <c r="T67" s="33">
        <f t="shared" si="32"/>
        <v>332.00785380828182</v>
      </c>
      <c r="U67" s="33">
        <f t="shared" si="17"/>
        <v>138.901551072584</v>
      </c>
      <c r="V67" s="33">
        <f t="shared" si="23"/>
        <v>193.10630273569782</v>
      </c>
      <c r="W67" s="33"/>
    </row>
    <row r="69" spans="1:23">
      <c r="B69" t="s">
        <v>132</v>
      </c>
      <c r="C69" s="32" t="s">
        <v>134</v>
      </c>
      <c r="D69" t="s">
        <v>133</v>
      </c>
      <c r="E69" t="s">
        <v>123</v>
      </c>
    </row>
    <row r="70" spans="1:23">
      <c r="A70" t="s">
        <v>135</v>
      </c>
      <c r="B70" s="22">
        <f>'Model-2-Low'!P28</f>
        <v>3.015E-2</v>
      </c>
      <c r="C70" s="59">
        <f>'Model-2-Low'!D49</f>
        <v>-5.6299999999999996E-3</v>
      </c>
      <c r="D70">
        <f>'Model-2-Low'!L36/1000000</f>
        <v>-40</v>
      </c>
      <c r="E70" s="10">
        <f>'Model-2-Low'!N40/1000000</f>
        <v>-10</v>
      </c>
    </row>
    <row r="71" spans="1:23">
      <c r="A71" t="s">
        <v>136</v>
      </c>
      <c r="B71" s="22">
        <f>'Model-2-High'!P28</f>
        <v>2.7650000000000001E-2</v>
      </c>
      <c r="C71" s="59">
        <f>'Model-2-High'!D49</f>
        <v>-7.6950000000000013E-3</v>
      </c>
      <c r="D71">
        <f>'Model-2-High'!L36/1000000</f>
        <v>-60</v>
      </c>
      <c r="E71" s="10">
        <f>'Model-2-High'!N40/1000000</f>
        <v>-15</v>
      </c>
    </row>
    <row r="72" spans="1:23">
      <c r="A72" s="2" t="s">
        <v>137</v>
      </c>
      <c r="B72" s="137">
        <f>AVERAGE(B70:B71)</f>
        <v>2.8900000000000002E-2</v>
      </c>
      <c r="C72" s="137">
        <f>AVERAGE(C70:C71)</f>
        <v>-6.6625E-3</v>
      </c>
      <c r="D72" s="138">
        <f t="shared" ref="D72:E72" si="33">AVERAGE(D70:D71)</f>
        <v>-50</v>
      </c>
      <c r="E72" s="138">
        <f t="shared" si="33"/>
        <v>-12.5</v>
      </c>
    </row>
    <row r="74" spans="1:23">
      <c r="A74" t="s">
        <v>202</v>
      </c>
      <c r="B74">
        <f>'Model-2-Low'!U108/1000000</f>
        <v>0.6</v>
      </c>
    </row>
  </sheetData>
  <pageMargins left="0.7" right="0.7" top="0.75" bottom="0.75" header="0.3" footer="0.3"/>
  <pageSetup scale="3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E4220-FC1A-8848-A7E0-BB7BF706A41C}">
  <sheetPr>
    <tabColor rgb="FF7030A0"/>
  </sheetPr>
  <dimension ref="A1:AK120"/>
  <sheetViews>
    <sheetView showGridLines="0" topLeftCell="A51" zoomScale="85" zoomScaleNormal="85" zoomScaleSheetLayoutView="89" zoomScalePageLayoutView="96" workbookViewId="0">
      <selection activeCell="D91" sqref="D91"/>
    </sheetView>
  </sheetViews>
  <sheetFormatPr defaultColWidth="10.625" defaultRowHeight="15.75" outlineLevelRow="1" outlineLevelCol="1"/>
  <cols>
    <col min="1" max="1" width="3.375" customWidth="1"/>
    <col min="2" max="2" width="36.5" customWidth="1"/>
    <col min="3" max="3" width="3.125" customWidth="1"/>
    <col min="4" max="4" width="16.875" customWidth="1"/>
    <col min="5" max="5" width="2.625" customWidth="1"/>
    <col min="6" max="6" width="14.625" hidden="1" customWidth="1" outlineLevel="1"/>
    <col min="7" max="7" width="2.625" hidden="1" customWidth="1" outlineLevel="1"/>
    <col min="8" max="8" width="12.875" hidden="1" customWidth="1" outlineLevel="1"/>
    <col min="9" max="9" width="2.625" hidden="1" customWidth="1" outlineLevel="1"/>
    <col min="10" max="10" width="12.875" hidden="1" customWidth="1" outlineLevel="1"/>
    <col min="11" max="11" width="2.625" hidden="1" customWidth="1" outlineLevel="1"/>
    <col min="12" max="12" width="15.625" customWidth="1" collapsed="1"/>
    <col min="13" max="13" width="2.375" customWidth="1"/>
    <col min="14" max="14" width="13.875" customWidth="1"/>
    <col min="15" max="15" width="2.875" customWidth="1"/>
    <col min="16" max="16" width="17.5" customWidth="1"/>
    <col min="17" max="18" width="2.875" customWidth="1"/>
    <col min="19" max="19" width="30.625" customWidth="1"/>
    <col min="20" max="20" width="16.5" customWidth="1"/>
    <col min="21" max="21" width="15.375" customWidth="1"/>
    <col min="22" max="22" width="14" customWidth="1"/>
    <col min="23" max="23" width="13.5" customWidth="1"/>
    <col min="24" max="24" width="13.875" customWidth="1"/>
    <col min="25" max="25" width="13.5" customWidth="1"/>
    <col min="26" max="26" width="14.875" customWidth="1"/>
    <col min="27" max="27" width="13.375" customWidth="1"/>
    <col min="28" max="29" width="13.625" customWidth="1"/>
    <col min="30" max="30" width="16.375" customWidth="1"/>
    <col min="31" max="31" width="5.375" customWidth="1"/>
    <col min="32" max="32" width="13.625" customWidth="1"/>
    <col min="33" max="33" width="2.625" customWidth="1"/>
    <col min="34" max="34" width="15" customWidth="1"/>
  </cols>
  <sheetData>
    <row r="1" spans="1:23" s="69" customFormat="1" ht="18.75">
      <c r="A1" s="278" t="s">
        <v>256</v>
      </c>
    </row>
    <row r="3" spans="1:23">
      <c r="B3" s="4" t="s">
        <v>209</v>
      </c>
      <c r="S3" s="4" t="s">
        <v>152</v>
      </c>
      <c r="T3" s="4"/>
    </row>
    <row r="4" spans="1:23" s="7" customFormat="1" ht="31.5">
      <c r="D4" s="11" t="s">
        <v>109</v>
      </c>
      <c r="F4" s="11"/>
      <c r="H4" s="11"/>
      <c r="J4" s="11"/>
      <c r="L4" s="11" t="s">
        <v>105</v>
      </c>
      <c r="N4" s="11" t="s">
        <v>104</v>
      </c>
      <c r="P4" s="12" t="s">
        <v>100</v>
      </c>
    </row>
    <row r="5" spans="1:23"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13"/>
      <c r="S5" t="s">
        <v>28</v>
      </c>
      <c r="T5" s="10">
        <f>P6</f>
        <v>1015228426.3959391</v>
      </c>
    </row>
    <row r="6" spans="1:23">
      <c r="B6" s="244" t="s">
        <v>28</v>
      </c>
      <c r="C6" s="244"/>
      <c r="D6" s="246">
        <f>D11/(1-D8)</f>
        <v>1015228426.3959391</v>
      </c>
      <c r="E6" s="244"/>
      <c r="F6" s="246"/>
      <c r="G6" s="244"/>
      <c r="H6" s="246"/>
      <c r="I6" s="244"/>
      <c r="J6" s="244"/>
      <c r="K6" s="244"/>
      <c r="L6" s="244"/>
      <c r="M6" s="244"/>
      <c r="N6" s="244"/>
      <c r="O6" s="244"/>
      <c r="P6" s="16">
        <f>D6+J6+L6+N6+F6+H6</f>
        <v>1015228426.3959391</v>
      </c>
      <c r="S6" s="5" t="s">
        <v>68</v>
      </c>
      <c r="T6" s="82">
        <f>P7</f>
        <v>-15228426.395939086</v>
      </c>
      <c r="U6" s="21">
        <f>T6/T5</f>
        <v>-1.4999999999999999E-2</v>
      </c>
      <c r="V6" t="s">
        <v>71</v>
      </c>
    </row>
    <row r="7" spans="1:23">
      <c r="B7" s="244" t="s">
        <v>66</v>
      </c>
      <c r="C7" s="244"/>
      <c r="D7" s="246">
        <f>-D6*D8</f>
        <v>-15228426.395939086</v>
      </c>
      <c r="E7" s="244"/>
      <c r="F7" s="246"/>
      <c r="G7" s="244"/>
      <c r="H7" s="246"/>
      <c r="I7" s="244"/>
      <c r="J7" s="244"/>
      <c r="K7" s="244"/>
      <c r="L7" s="244"/>
      <c r="M7" s="244"/>
      <c r="N7" s="244"/>
      <c r="O7" s="244"/>
      <c r="P7" s="16">
        <f>D7+J7+L7+N7+F7+H7</f>
        <v>-15228426.395939086</v>
      </c>
      <c r="S7" s="10" t="s">
        <v>20</v>
      </c>
      <c r="T7" s="10">
        <f>T5+T6</f>
        <v>1000000000</v>
      </c>
      <c r="U7" s="9"/>
    </row>
    <row r="8" spans="1:23">
      <c r="B8" s="244" t="s">
        <v>67</v>
      </c>
      <c r="C8" s="244"/>
      <c r="D8" s="248">
        <f>1.5%</f>
        <v>1.4999999999999999E-2</v>
      </c>
      <c r="E8" s="17"/>
      <c r="F8" s="41"/>
      <c r="G8" s="17"/>
      <c r="H8" s="261"/>
      <c r="I8" s="244"/>
      <c r="J8" s="244"/>
      <c r="K8" s="244"/>
      <c r="L8" s="244"/>
      <c r="M8" s="244"/>
      <c r="N8" s="244"/>
      <c r="O8" s="244"/>
      <c r="P8" s="224">
        <f>-P7/P6</f>
        <v>1.4999999999999999E-2</v>
      </c>
      <c r="U8" s="9"/>
    </row>
    <row r="9" spans="1:23">
      <c r="B9" s="190" t="s">
        <v>20</v>
      </c>
      <c r="C9" s="244" t="s">
        <v>4</v>
      </c>
      <c r="D9" s="33">
        <f>D6+D7</f>
        <v>1000000000</v>
      </c>
      <c r="E9" s="244"/>
      <c r="F9" s="33"/>
      <c r="G9" s="244"/>
      <c r="H9" s="33"/>
      <c r="I9" s="244"/>
      <c r="J9" s="244"/>
      <c r="K9" s="244"/>
      <c r="L9" s="244"/>
      <c r="M9" s="244"/>
      <c r="N9" s="244"/>
      <c r="O9" s="244"/>
      <c r="P9" s="14">
        <f>D9+J9+L9+N9+F9+H9</f>
        <v>1000000000</v>
      </c>
      <c r="S9" t="s">
        <v>70</v>
      </c>
      <c r="T9" s="10">
        <f>U9*T7</f>
        <v>100000000</v>
      </c>
      <c r="U9" s="9">
        <v>0.1</v>
      </c>
      <c r="V9" t="s">
        <v>72</v>
      </c>
      <c r="W9" t="s">
        <v>103</v>
      </c>
    </row>
    <row r="10" spans="1:23">
      <c r="B10" s="244"/>
      <c r="C10" s="244"/>
      <c r="D10" s="33"/>
      <c r="E10" s="244"/>
      <c r="F10" s="33"/>
      <c r="G10" s="244"/>
      <c r="H10" s="33"/>
      <c r="I10" s="244"/>
      <c r="J10" s="244"/>
      <c r="K10" s="244"/>
      <c r="L10" s="244"/>
      <c r="M10" s="244"/>
      <c r="N10" s="244"/>
      <c r="O10" s="244"/>
      <c r="P10" s="13"/>
    </row>
    <row r="11" spans="1:23">
      <c r="B11" s="43" t="s">
        <v>20</v>
      </c>
      <c r="C11" s="43"/>
      <c r="D11" s="196">
        <v>1000000000</v>
      </c>
      <c r="E11" s="196"/>
      <c r="F11" s="196"/>
      <c r="G11" s="196"/>
      <c r="H11" s="196"/>
      <c r="I11" s="196"/>
      <c r="J11" s="196"/>
      <c r="K11" s="196"/>
      <c r="L11" s="196"/>
      <c r="M11" s="43"/>
      <c r="N11" s="43"/>
      <c r="O11" s="43"/>
      <c r="P11" s="28">
        <f>D11+J11+L11+N11+F11+H11</f>
        <v>1000000000</v>
      </c>
      <c r="S11" s="79" t="s">
        <v>21</v>
      </c>
      <c r="T11" s="83">
        <f>T7+T9</f>
        <v>1100000000</v>
      </c>
    </row>
    <row r="12" spans="1:23">
      <c r="B12" s="43" t="s">
        <v>18</v>
      </c>
      <c r="C12" s="43"/>
      <c r="D12" s="196">
        <v>5000000</v>
      </c>
      <c r="E12" s="196"/>
      <c r="F12" s="196"/>
      <c r="G12" s="196"/>
      <c r="H12" s="196"/>
      <c r="I12" s="196"/>
      <c r="J12" s="196"/>
      <c r="K12" s="196"/>
      <c r="L12" s="196"/>
      <c r="M12" s="43"/>
      <c r="N12" s="43"/>
      <c r="O12" s="43"/>
      <c r="P12" s="28"/>
    </row>
    <row r="13" spans="1:23">
      <c r="B13" s="43" t="s">
        <v>19</v>
      </c>
      <c r="C13" s="43"/>
      <c r="D13" s="29">
        <f>INT(D11/D12)</f>
        <v>200</v>
      </c>
      <c r="E13" s="196"/>
      <c r="F13" s="29"/>
      <c r="G13" s="196"/>
      <c r="H13" s="29"/>
      <c r="I13" s="196"/>
      <c r="J13" s="29"/>
      <c r="K13" s="196"/>
      <c r="L13" s="29"/>
      <c r="M13" s="43"/>
      <c r="N13" s="43"/>
      <c r="O13" s="43"/>
      <c r="P13" s="28"/>
      <c r="S13" t="s">
        <v>69</v>
      </c>
      <c r="T13" s="10">
        <f>T11-T14</f>
        <v>935000000</v>
      </c>
    </row>
    <row r="14" spans="1:23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104"/>
      <c r="S14" t="s">
        <v>6</v>
      </c>
      <c r="T14" s="10">
        <f>T11*U14</f>
        <v>165000000</v>
      </c>
      <c r="U14" s="8">
        <v>0.15</v>
      </c>
      <c r="V14" t="s">
        <v>73</v>
      </c>
    </row>
    <row r="15" spans="1:23">
      <c r="B15" s="43" t="s">
        <v>104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219">
        <f>T9</f>
        <v>100000000</v>
      </c>
      <c r="O15" s="43"/>
      <c r="P15" s="28">
        <f>D15+J15+L15+N15+F15+H15</f>
        <v>100000000</v>
      </c>
      <c r="S15" s="79" t="s">
        <v>22</v>
      </c>
      <c r="T15" s="83">
        <f>T13+T14</f>
        <v>1100000000</v>
      </c>
    </row>
    <row r="16" spans="1:23">
      <c r="B16" s="43" t="s">
        <v>113</v>
      </c>
      <c r="C16" s="43"/>
      <c r="D16" s="43"/>
      <c r="E16" s="43"/>
      <c r="F16" s="43"/>
      <c r="G16" s="43"/>
      <c r="H16" s="43"/>
      <c r="I16" s="43"/>
      <c r="J16" s="43"/>
      <c r="K16" s="43"/>
      <c r="L16" s="219">
        <v>10000000000</v>
      </c>
      <c r="M16" s="43"/>
      <c r="N16" s="43"/>
      <c r="O16" s="43"/>
      <c r="P16" s="28">
        <f>D16+J16+L16+N16+F16+H16</f>
        <v>10000000000</v>
      </c>
    </row>
    <row r="17" spans="2:35"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13"/>
      <c r="S17" t="s">
        <v>74</v>
      </c>
      <c r="T17" s="22">
        <f>T13/T5</f>
        <v>0.92097499999999999</v>
      </c>
    </row>
    <row r="18" spans="2:35">
      <c r="B18" s="244" t="s">
        <v>10</v>
      </c>
      <c r="C18" s="244"/>
      <c r="D18" s="174">
        <f>T23</f>
        <v>0.04</v>
      </c>
      <c r="E18" s="254"/>
      <c r="F18" s="254"/>
      <c r="G18" s="254"/>
      <c r="H18" s="254"/>
      <c r="I18" s="254"/>
      <c r="J18" s="254"/>
      <c r="K18" s="254"/>
      <c r="L18" s="254"/>
      <c r="M18" s="195"/>
      <c r="N18" s="174">
        <f>T21</f>
        <v>0.02</v>
      </c>
      <c r="O18" s="244"/>
      <c r="P18" s="224">
        <f>P19/P$11</f>
        <v>4.2000000000000003E-2</v>
      </c>
    </row>
    <row r="19" spans="2:35">
      <c r="B19" s="244" t="s">
        <v>23</v>
      </c>
      <c r="C19" s="244"/>
      <c r="D19" s="213">
        <f>D$11*D18</f>
        <v>40000000</v>
      </c>
      <c r="E19" s="213"/>
      <c r="F19" s="213"/>
      <c r="G19" s="213"/>
      <c r="H19" s="213"/>
      <c r="I19" s="213"/>
      <c r="J19" s="213"/>
      <c r="K19" s="213"/>
      <c r="L19" s="213"/>
      <c r="M19" s="195"/>
      <c r="N19" s="255">
        <f>N15*N18</f>
        <v>2000000</v>
      </c>
      <c r="O19" s="244"/>
      <c r="P19" s="14">
        <f>D19+J19+L19+N19+F19+H19</f>
        <v>42000000</v>
      </c>
      <c r="S19" s="4" t="s">
        <v>75</v>
      </c>
    </row>
    <row r="20" spans="2:35">
      <c r="B20" s="244"/>
      <c r="C20" s="244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244"/>
      <c r="P20" s="13"/>
      <c r="S20" t="s">
        <v>76</v>
      </c>
      <c r="T20" s="85">
        <v>0.01</v>
      </c>
      <c r="V20" t="s">
        <v>84</v>
      </c>
    </row>
    <row r="21" spans="2:35">
      <c r="B21" s="244" t="s">
        <v>11</v>
      </c>
      <c r="C21" s="244"/>
      <c r="D21" s="174">
        <f>T20</f>
        <v>0.01</v>
      </c>
      <c r="E21" s="195"/>
      <c r="F21" s="254"/>
      <c r="G21" s="195"/>
      <c r="H21" s="254"/>
      <c r="I21" s="195"/>
      <c r="J21" s="254"/>
      <c r="K21" s="195"/>
      <c r="L21" s="254"/>
      <c r="M21" s="195"/>
      <c r="N21" s="195"/>
      <c r="O21" s="244"/>
      <c r="P21" s="224">
        <f>-P23/P$11</f>
        <v>9.3500000000000007E-3</v>
      </c>
      <c r="S21" t="s">
        <v>77</v>
      </c>
      <c r="T21" s="85">
        <v>0.02</v>
      </c>
      <c r="V21" t="s">
        <v>108</v>
      </c>
    </row>
    <row r="22" spans="2:35">
      <c r="B22" s="244" t="s">
        <v>74</v>
      </c>
      <c r="C22" s="244"/>
      <c r="D22" s="254">
        <f>T17</f>
        <v>0.92097499999999999</v>
      </c>
      <c r="E22" s="195"/>
      <c r="F22" s="254"/>
      <c r="G22" s="195"/>
      <c r="H22" s="254"/>
      <c r="I22" s="195"/>
      <c r="J22" s="254"/>
      <c r="K22" s="195"/>
      <c r="L22" s="254"/>
      <c r="M22" s="195"/>
      <c r="N22" s="195"/>
      <c r="O22" s="244"/>
      <c r="P22" s="20"/>
      <c r="T22" s="85">
        <v>0.04</v>
      </c>
    </row>
    <row r="23" spans="2:35">
      <c r="B23" s="244" t="s">
        <v>12</v>
      </c>
      <c r="C23" s="244"/>
      <c r="D23" s="255">
        <f>-D6*D21*D22</f>
        <v>-9350000</v>
      </c>
      <c r="E23" s="213"/>
      <c r="F23" s="255"/>
      <c r="G23" s="213"/>
      <c r="H23" s="255"/>
      <c r="I23" s="213"/>
      <c r="J23" s="255"/>
      <c r="K23" s="213"/>
      <c r="L23" s="255"/>
      <c r="M23" s="195"/>
      <c r="N23" s="195"/>
      <c r="O23" s="244"/>
      <c r="P23" s="16">
        <f>D23+J23+L23+N23+F23+H23</f>
        <v>-9350000</v>
      </c>
      <c r="S23" t="s">
        <v>110</v>
      </c>
      <c r="T23" s="85">
        <v>0.04</v>
      </c>
      <c r="V23" t="s">
        <v>111</v>
      </c>
    </row>
    <row r="24" spans="2:35">
      <c r="B24" s="244"/>
      <c r="C24" s="244"/>
      <c r="D24" s="195"/>
      <c r="E24" s="195"/>
      <c r="F24" s="195"/>
      <c r="G24" s="195"/>
      <c r="H24" s="195"/>
      <c r="I24" s="195"/>
      <c r="J24" s="255"/>
      <c r="K24" s="195"/>
      <c r="L24" s="195"/>
      <c r="M24" s="195"/>
      <c r="N24" s="195"/>
      <c r="O24" s="244"/>
      <c r="P24" s="15"/>
    </row>
    <row r="25" spans="2:35">
      <c r="B25" s="244" t="s">
        <v>13</v>
      </c>
      <c r="C25" s="244"/>
      <c r="D25" s="174">
        <v>2.5000000000000001E-3</v>
      </c>
      <c r="E25" s="254"/>
      <c r="F25" s="254"/>
      <c r="G25" s="254"/>
      <c r="H25" s="195"/>
      <c r="I25" s="254"/>
      <c r="J25" s="255"/>
      <c r="K25" s="254"/>
      <c r="L25" s="254"/>
      <c r="M25" s="195"/>
      <c r="N25" s="195"/>
      <c r="O25" s="244"/>
      <c r="P25" s="224">
        <f>-P26/P$11</f>
        <v>2.5000000000000001E-3</v>
      </c>
      <c r="S25" t="s">
        <v>78</v>
      </c>
      <c r="Z25" s="25"/>
      <c r="AA25" s="25"/>
      <c r="AB25" s="25"/>
      <c r="AC25" s="25"/>
      <c r="AD25" s="25"/>
      <c r="AE25" s="25"/>
      <c r="AF25" s="25"/>
      <c r="AG25" s="25"/>
      <c r="AH25" s="25"/>
      <c r="AI25" s="25"/>
    </row>
    <row r="26" spans="2:35">
      <c r="B26" s="244" t="s">
        <v>15</v>
      </c>
      <c r="C26" s="244"/>
      <c r="D26" s="255">
        <f>-D$11*D25</f>
        <v>-2500000</v>
      </c>
      <c r="E26" s="213"/>
      <c r="F26" s="255"/>
      <c r="G26" s="213"/>
      <c r="H26" s="195"/>
      <c r="I26" s="213"/>
      <c r="J26" s="255"/>
      <c r="K26" s="213"/>
      <c r="L26" s="255"/>
      <c r="M26" s="195"/>
      <c r="N26" s="195"/>
      <c r="O26" s="244"/>
      <c r="P26" s="16">
        <f>D26+J26+L26+N26+F26+H26</f>
        <v>-2500000</v>
      </c>
      <c r="S26" t="s">
        <v>79</v>
      </c>
      <c r="T26" s="113" t="s">
        <v>64</v>
      </c>
      <c r="Z26" s="25"/>
      <c r="AA26" s="25"/>
      <c r="AB26" s="25"/>
      <c r="AC26" s="25"/>
      <c r="AD26" s="25"/>
      <c r="AE26" s="25"/>
      <c r="AF26" s="25"/>
      <c r="AG26" s="25"/>
      <c r="AH26" s="25"/>
      <c r="AI26" s="25"/>
    </row>
    <row r="27" spans="2:35">
      <c r="B27" s="244"/>
      <c r="C27" s="244"/>
      <c r="D27" s="244"/>
      <c r="E27" s="244"/>
      <c r="F27" s="195"/>
      <c r="G27" s="195"/>
      <c r="H27" s="195"/>
      <c r="I27" s="195"/>
      <c r="J27" s="246"/>
      <c r="K27" s="244"/>
      <c r="L27" s="244"/>
      <c r="M27" s="244"/>
      <c r="N27" s="244"/>
      <c r="O27" s="244"/>
      <c r="P27" s="13"/>
      <c r="S27" t="s">
        <v>81</v>
      </c>
      <c r="T27" t="s">
        <v>80</v>
      </c>
      <c r="Z27" s="25"/>
      <c r="AA27" s="25"/>
      <c r="AB27" s="25"/>
      <c r="AC27" s="25"/>
      <c r="AD27" s="25"/>
      <c r="AE27" s="25"/>
      <c r="AF27" s="25"/>
      <c r="AG27" s="25"/>
      <c r="AH27" s="25"/>
      <c r="AI27" s="25"/>
    </row>
    <row r="28" spans="2:35">
      <c r="B28" s="244" t="s">
        <v>14</v>
      </c>
      <c r="C28" s="244"/>
      <c r="D28" s="260">
        <f>D18-D21-D25</f>
        <v>2.75E-2</v>
      </c>
      <c r="E28" s="244"/>
      <c r="F28" s="254"/>
      <c r="G28" s="195"/>
      <c r="H28" s="195"/>
      <c r="I28" s="195"/>
      <c r="J28" s="246"/>
      <c r="K28" s="244"/>
      <c r="L28" s="260"/>
      <c r="M28" s="244"/>
      <c r="N28" s="244"/>
      <c r="O28" s="244"/>
      <c r="P28" s="224">
        <f>P29/P$11</f>
        <v>3.015E-2</v>
      </c>
      <c r="S28" t="s">
        <v>82</v>
      </c>
      <c r="T28" t="s">
        <v>80</v>
      </c>
      <c r="Z28" s="25"/>
      <c r="AA28" s="25"/>
      <c r="AB28" s="25"/>
      <c r="AC28" s="25"/>
      <c r="AD28" s="25"/>
      <c r="AE28" s="25"/>
      <c r="AF28" s="25"/>
      <c r="AG28" s="25"/>
      <c r="AH28" s="25"/>
      <c r="AI28" s="25"/>
    </row>
    <row r="29" spans="2:35">
      <c r="B29" s="24"/>
      <c r="C29" s="24"/>
      <c r="D29" s="196">
        <f>D19+D23+D26</f>
        <v>28150000</v>
      </c>
      <c r="E29" s="43"/>
      <c r="F29" s="44"/>
      <c r="G29" s="44"/>
      <c r="H29" s="44"/>
      <c r="I29" s="44"/>
      <c r="J29" s="44"/>
      <c r="K29" s="43"/>
      <c r="L29" s="196">
        <f>L19+L23+L26</f>
        <v>0</v>
      </c>
      <c r="M29" s="43"/>
      <c r="N29" s="196">
        <f>N19+N23+N26</f>
        <v>2000000</v>
      </c>
      <c r="O29" s="43"/>
      <c r="P29" s="200">
        <f>P19+P23+P26</f>
        <v>30150000</v>
      </c>
      <c r="S29" t="s">
        <v>83</v>
      </c>
      <c r="T29" s="113" t="s">
        <v>65</v>
      </c>
      <c r="Z29" s="25"/>
      <c r="AA29" s="25"/>
      <c r="AB29" s="25"/>
      <c r="AC29" s="25"/>
      <c r="AD29" s="25"/>
      <c r="AE29" s="25"/>
      <c r="AF29" s="25"/>
      <c r="AG29" s="25"/>
      <c r="AH29" s="25"/>
      <c r="AI29" s="25"/>
    </row>
    <row r="30" spans="2:35" s="69" customFormat="1">
      <c r="B30" s="68"/>
      <c r="C30" s="68"/>
      <c r="D30" s="192"/>
      <c r="E30" s="68"/>
      <c r="F30" s="192"/>
      <c r="G30" s="68"/>
      <c r="H30" s="193"/>
      <c r="I30" s="68"/>
      <c r="J30" s="193"/>
      <c r="K30" s="68"/>
      <c r="L30" s="192"/>
      <c r="M30" s="68"/>
      <c r="N30" s="192"/>
      <c r="O30" s="68"/>
      <c r="P30" s="194"/>
      <c r="T30" s="195"/>
      <c r="Z30" s="25"/>
      <c r="AA30" s="25"/>
      <c r="AB30" s="25"/>
      <c r="AC30" s="25"/>
      <c r="AD30" s="25"/>
      <c r="AE30" s="25"/>
      <c r="AF30" s="25"/>
      <c r="AG30" s="25"/>
      <c r="AH30" s="25"/>
      <c r="AI30" s="25"/>
    </row>
    <row r="31" spans="2:35" s="215" customFormat="1">
      <c r="B31" s="195" t="s">
        <v>207</v>
      </c>
      <c r="C31" s="195"/>
      <c r="D31" s="213">
        <v>0</v>
      </c>
      <c r="E31" s="195"/>
      <c r="F31" s="213"/>
      <c r="G31" s="195"/>
      <c r="H31" s="213"/>
      <c r="I31" s="195"/>
      <c r="J31" s="214"/>
      <c r="K31" s="195"/>
      <c r="L31" s="213">
        <v>600000</v>
      </c>
      <c r="M31" s="195"/>
      <c r="N31" s="213">
        <v>0</v>
      </c>
      <c r="O31" s="195"/>
      <c r="P31" s="16">
        <f>D31+J31+L31+N31+F31+H31</f>
        <v>600000</v>
      </c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</row>
    <row r="32" spans="2:35" s="69" customFormat="1">
      <c r="B32" s="195"/>
      <c r="C32" s="68"/>
      <c r="D32" s="192"/>
      <c r="E32" s="68"/>
      <c r="F32" s="192"/>
      <c r="G32" s="68"/>
      <c r="H32" s="193"/>
      <c r="I32" s="68"/>
      <c r="J32" s="193"/>
      <c r="K32" s="68"/>
      <c r="L32" s="192"/>
      <c r="M32" s="68"/>
      <c r="N32" s="192"/>
      <c r="O32" s="68"/>
      <c r="P32" s="194"/>
      <c r="T32" s="195"/>
      <c r="Z32" s="25"/>
      <c r="AA32" s="25"/>
      <c r="AB32" s="25"/>
      <c r="AC32" s="25"/>
      <c r="AD32" s="25"/>
      <c r="AE32" s="25"/>
      <c r="AF32" s="25"/>
      <c r="AG32" s="25"/>
      <c r="AH32" s="25"/>
      <c r="AI32" s="25"/>
    </row>
    <row r="33" spans="2:37" s="69" customFormat="1">
      <c r="B33" s="201" t="s">
        <v>208</v>
      </c>
      <c r="C33" s="201"/>
      <c r="D33" s="202">
        <f>D29+D31</f>
        <v>28150000</v>
      </c>
      <c r="E33" s="202"/>
      <c r="F33" s="202"/>
      <c r="G33" s="202"/>
      <c r="H33" s="202"/>
      <c r="I33" s="201"/>
      <c r="J33" s="203"/>
      <c r="K33" s="201"/>
      <c r="L33" s="202">
        <f>L29+L31</f>
        <v>600000</v>
      </c>
      <c r="M33" s="201"/>
      <c r="N33" s="202">
        <f>N29+N31</f>
        <v>2000000</v>
      </c>
      <c r="O33" s="201"/>
      <c r="P33" s="209">
        <f>D33+J33+L33+N33+F33+H33</f>
        <v>30750000</v>
      </c>
      <c r="T33" s="195"/>
      <c r="Z33" s="25"/>
      <c r="AA33" s="25"/>
      <c r="AB33" s="25"/>
      <c r="AC33" s="25"/>
      <c r="AD33" s="25"/>
      <c r="AE33" s="25"/>
      <c r="AF33" s="25"/>
      <c r="AG33" s="25"/>
      <c r="AH33" s="25"/>
      <c r="AI33" s="25"/>
    </row>
    <row r="34" spans="2:37"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13"/>
      <c r="Z34" s="25"/>
      <c r="AA34" s="25"/>
      <c r="AB34" s="25"/>
      <c r="AC34" s="72"/>
      <c r="AD34" s="25"/>
      <c r="AE34" s="25"/>
      <c r="AF34" s="25"/>
      <c r="AG34" s="25"/>
      <c r="AH34" s="25"/>
      <c r="AI34" s="25"/>
    </row>
    <row r="35" spans="2:37">
      <c r="B35" s="244" t="s">
        <v>56</v>
      </c>
      <c r="C35" s="244"/>
      <c r="D35" s="293">
        <v>0.2</v>
      </c>
      <c r="E35" s="195"/>
      <c r="F35" s="258"/>
      <c r="G35" s="195"/>
      <c r="H35" s="195"/>
      <c r="I35" s="195"/>
      <c r="J35" s="258"/>
      <c r="K35" s="195"/>
      <c r="L35" s="195"/>
      <c r="M35" s="195"/>
      <c r="N35" s="195"/>
      <c r="O35" s="195"/>
      <c r="P35" s="225">
        <f>-P36/P29</f>
        <v>1.5134328358208955</v>
      </c>
      <c r="S35" s="69"/>
      <c r="T35" s="160"/>
      <c r="U35" s="69"/>
      <c r="V35" s="69"/>
      <c r="W35" s="69"/>
      <c r="X35" s="69"/>
      <c r="Z35" s="40"/>
      <c r="AA35" s="40"/>
      <c r="AB35" s="25"/>
      <c r="AC35" s="163"/>
      <c r="AD35" s="25"/>
      <c r="AE35" s="40"/>
      <c r="AF35" s="25"/>
      <c r="AG35" s="25"/>
      <c r="AH35" s="25"/>
      <c r="AI35" s="25"/>
    </row>
    <row r="36" spans="2:37">
      <c r="B36" s="244" t="s">
        <v>16</v>
      </c>
      <c r="C36" s="244"/>
      <c r="D36" s="255">
        <f>-D35*D29</f>
        <v>-5630000</v>
      </c>
      <c r="E36" s="195"/>
      <c r="F36" s="255"/>
      <c r="G36" s="195"/>
      <c r="H36" s="214"/>
      <c r="I36" s="195"/>
      <c r="J36" s="214"/>
      <c r="K36" s="195"/>
      <c r="L36" s="255">
        <f>-T44</f>
        <v>-40000000</v>
      </c>
      <c r="M36" s="195"/>
      <c r="N36" s="195"/>
      <c r="O36" s="195"/>
      <c r="P36" s="16">
        <f>D36+J36+L36+N36+F36+H36</f>
        <v>-45630000</v>
      </c>
      <c r="S36" s="25" t="s">
        <v>106</v>
      </c>
      <c r="T36" s="157">
        <v>75000000</v>
      </c>
      <c r="U36" s="25" t="s">
        <v>129</v>
      </c>
      <c r="V36" s="25"/>
      <c r="W36" s="25"/>
      <c r="X36" s="25"/>
      <c r="Z36" s="57"/>
      <c r="AA36" s="25"/>
      <c r="AB36" s="25"/>
      <c r="AC36" s="64"/>
      <c r="AD36" s="25"/>
      <c r="AE36" s="25"/>
      <c r="AF36" s="25"/>
      <c r="AG36" s="25"/>
      <c r="AH36" s="25"/>
      <c r="AI36" s="25"/>
      <c r="AJ36" s="25"/>
      <c r="AK36" s="25"/>
    </row>
    <row r="37" spans="2:37" hidden="1" outlineLevel="1">
      <c r="B37" s="244"/>
      <c r="C37" s="244"/>
      <c r="D37" s="255"/>
      <c r="E37" s="195"/>
      <c r="F37" s="255"/>
      <c r="G37" s="195"/>
      <c r="H37" s="214"/>
      <c r="I37" s="195"/>
      <c r="J37" s="214"/>
      <c r="K37" s="195"/>
      <c r="L37" s="255"/>
      <c r="M37" s="195"/>
      <c r="N37" s="195"/>
      <c r="O37" s="195"/>
      <c r="P37" s="15"/>
      <c r="S37" s="121"/>
      <c r="T37" s="149"/>
      <c r="U37" s="121"/>
      <c r="V37" s="121"/>
      <c r="W37" s="57"/>
      <c r="X37" s="57"/>
      <c r="Z37" s="25"/>
      <c r="AA37" s="25"/>
      <c r="AB37" s="25"/>
      <c r="AC37" s="64"/>
      <c r="AD37" s="25"/>
      <c r="AE37" s="25"/>
      <c r="AF37" s="25"/>
      <c r="AG37" s="25"/>
      <c r="AH37" s="25"/>
      <c r="AI37" s="25"/>
      <c r="AJ37" s="25"/>
      <c r="AK37" s="25"/>
    </row>
    <row r="38" spans="2:37" hidden="1" outlineLevel="1">
      <c r="B38" s="43" t="s">
        <v>30</v>
      </c>
      <c r="C38" s="43"/>
      <c r="D38" s="255">
        <f>D33+D36</f>
        <v>22520000</v>
      </c>
      <c r="E38" s="255"/>
      <c r="F38" s="255"/>
      <c r="G38" s="255"/>
      <c r="H38" s="255"/>
      <c r="I38" s="195"/>
      <c r="J38" s="214"/>
      <c r="K38" s="195"/>
      <c r="L38" s="255">
        <f>L33+L36</f>
        <v>-39400000</v>
      </c>
      <c r="M38" s="195"/>
      <c r="N38" s="255">
        <f t="shared" ref="N38" si="0">N33+N36</f>
        <v>2000000</v>
      </c>
      <c r="O38" s="195"/>
      <c r="P38" s="31">
        <f>P33+P36</f>
        <v>-14880000</v>
      </c>
      <c r="S38" s="25" t="s">
        <v>112</v>
      </c>
      <c r="T38" s="156">
        <f>0.2*T36</f>
        <v>15000000</v>
      </c>
      <c r="U38" s="57" t="s">
        <v>130</v>
      </c>
      <c r="V38" s="25"/>
      <c r="W38" s="57"/>
      <c r="X38" s="57"/>
      <c r="Z38" s="57"/>
      <c r="AA38" s="25"/>
      <c r="AB38" s="25"/>
      <c r="AC38" s="71"/>
      <c r="AD38" s="25"/>
      <c r="AE38" s="25"/>
      <c r="AF38" s="25"/>
      <c r="AG38" s="25"/>
      <c r="AH38" s="25"/>
      <c r="AI38" s="25"/>
      <c r="AJ38" s="25"/>
      <c r="AK38" s="25"/>
    </row>
    <row r="39" spans="2:37" collapsed="1">
      <c r="B39" s="244"/>
      <c r="C39" s="244"/>
      <c r="D39" s="195" t="s">
        <v>4</v>
      </c>
      <c r="E39" s="195"/>
      <c r="F39" s="195"/>
      <c r="G39" s="195"/>
      <c r="H39" s="214"/>
      <c r="I39" s="195"/>
      <c r="J39" s="214"/>
      <c r="K39" s="195"/>
      <c r="L39" s="195"/>
      <c r="M39" s="195"/>
      <c r="N39" s="195"/>
      <c r="O39" s="195"/>
      <c r="P39" s="119"/>
      <c r="S39" s="25" t="s">
        <v>116</v>
      </c>
      <c r="T39" s="155">
        <f>75*300000+500000*3</f>
        <v>24000000</v>
      </c>
      <c r="U39" s="57" t="s">
        <v>117</v>
      </c>
      <c r="V39" s="25"/>
      <c r="W39" s="57"/>
      <c r="X39" s="114" t="s">
        <v>118</v>
      </c>
      <c r="Z39" s="114"/>
      <c r="AA39" s="25"/>
      <c r="AB39" s="25"/>
      <c r="AC39" s="72"/>
      <c r="AD39" s="25"/>
      <c r="AE39" s="25"/>
      <c r="AF39" s="25"/>
      <c r="AG39" s="25"/>
      <c r="AH39" s="25"/>
      <c r="AI39" s="25"/>
      <c r="AJ39" s="25"/>
      <c r="AK39" s="25"/>
    </row>
    <row r="40" spans="2:37">
      <c r="B40" s="244" t="s">
        <v>40</v>
      </c>
      <c r="C40" s="244"/>
      <c r="D40" s="195"/>
      <c r="E40" s="195"/>
      <c r="F40" s="195"/>
      <c r="G40" s="195"/>
      <c r="H40" s="214"/>
      <c r="I40" s="195"/>
      <c r="J40" s="214"/>
      <c r="K40" s="195"/>
      <c r="L40" s="195"/>
      <c r="M40" s="195"/>
      <c r="N40" s="255">
        <f>-T47</f>
        <v>-10000000</v>
      </c>
      <c r="O40" s="195"/>
      <c r="P40" s="16">
        <f>D40+J40+L40+N40+F40+H40</f>
        <v>-10000000</v>
      </c>
      <c r="S40" s="25" t="s">
        <v>119</v>
      </c>
      <c r="T40" s="155">
        <v>1000000</v>
      </c>
      <c r="V40" s="25"/>
      <c r="W40" s="57"/>
      <c r="X40" s="57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</row>
    <row r="41" spans="2:37">
      <c r="B41" s="244"/>
      <c r="C41" s="244"/>
      <c r="D41" s="244"/>
      <c r="E41" s="244"/>
      <c r="F41" s="244"/>
      <c r="G41" s="244"/>
      <c r="H41" s="42"/>
      <c r="I41" s="244"/>
      <c r="J41" s="42"/>
      <c r="K41" s="244"/>
      <c r="L41" s="244"/>
      <c r="M41" s="244"/>
      <c r="N41" s="262"/>
      <c r="O41" s="244"/>
      <c r="P41" s="16"/>
      <c r="S41" s="25"/>
      <c r="T41" s="155"/>
      <c r="V41" s="25"/>
      <c r="W41" s="57"/>
      <c r="X41" s="57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</row>
    <row r="42" spans="2:37">
      <c r="B42" s="201" t="s">
        <v>217</v>
      </c>
      <c r="C42" s="201"/>
      <c r="D42" s="202">
        <f>D36+D40</f>
        <v>-5630000</v>
      </c>
      <c r="E42" s="201"/>
      <c r="F42" s="202"/>
      <c r="G42" s="201"/>
      <c r="H42" s="202"/>
      <c r="I42" s="201"/>
      <c r="J42" s="203"/>
      <c r="K42" s="201"/>
      <c r="L42" s="202">
        <f>L36+L40</f>
        <v>-40000000</v>
      </c>
      <c r="M42" s="201"/>
      <c r="N42" s="202">
        <f>N36+N40</f>
        <v>-10000000</v>
      </c>
      <c r="O42" s="201"/>
      <c r="P42" s="241">
        <f>D42+J42+L42+N42+F42+H42</f>
        <v>-55630000</v>
      </c>
      <c r="S42" s="25"/>
      <c r="T42" s="155"/>
      <c r="V42" s="25"/>
      <c r="W42" s="57"/>
      <c r="X42" s="57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</row>
    <row r="43" spans="2:37">
      <c r="B43" s="244"/>
      <c r="C43" s="244"/>
      <c r="D43" s="244"/>
      <c r="E43" s="244"/>
      <c r="F43" s="244"/>
      <c r="G43" s="244"/>
      <c r="H43" s="42"/>
      <c r="I43" s="244"/>
      <c r="J43" s="42"/>
      <c r="K43" s="244"/>
      <c r="L43" s="244"/>
      <c r="M43" s="244"/>
      <c r="N43" s="262"/>
      <c r="O43" s="244"/>
      <c r="P43" s="16"/>
      <c r="S43" s="25"/>
      <c r="T43" s="155"/>
      <c r="V43" s="25"/>
      <c r="W43" s="57"/>
      <c r="X43" s="57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</row>
    <row r="44" spans="2:37">
      <c r="B44" s="244"/>
      <c r="C44" s="244"/>
      <c r="D44" s="244"/>
      <c r="E44" s="244"/>
      <c r="F44" s="244"/>
      <c r="G44" s="244"/>
      <c r="H44" s="42"/>
      <c r="I44" s="244"/>
      <c r="J44" s="42"/>
      <c r="K44" s="244"/>
      <c r="L44" s="244"/>
      <c r="M44" s="244"/>
      <c r="N44" s="244"/>
      <c r="O44" s="244"/>
      <c r="P44" s="13"/>
      <c r="S44" s="25" t="s">
        <v>105</v>
      </c>
      <c r="T44" s="115">
        <f>SUM(T38:T40)</f>
        <v>40000000</v>
      </c>
      <c r="U44" s="57"/>
      <c r="V44" s="25"/>
      <c r="W44" s="57"/>
      <c r="X44" s="57"/>
      <c r="Z44" s="25"/>
      <c r="AA44" s="25"/>
      <c r="AB44" s="25"/>
      <c r="AC44" s="71"/>
      <c r="AD44" s="25"/>
      <c r="AE44" s="71"/>
      <c r="AF44" s="25"/>
      <c r="AG44" s="25"/>
      <c r="AH44" s="25"/>
      <c r="AI44" s="109"/>
      <c r="AJ44" s="109"/>
      <c r="AK44" s="25"/>
    </row>
    <row r="45" spans="2:37" s="17" customFormat="1" ht="16.5" thickBot="1">
      <c r="B45" s="210" t="s">
        <v>216</v>
      </c>
      <c r="C45" s="210"/>
      <c r="D45" s="211">
        <f>D33+D42</f>
        <v>22520000</v>
      </c>
      <c r="E45" s="211"/>
      <c r="F45" s="211"/>
      <c r="G45" s="211"/>
      <c r="H45" s="211"/>
      <c r="I45" s="211"/>
      <c r="J45" s="211"/>
      <c r="K45" s="211"/>
      <c r="L45" s="211">
        <f>L33+L42</f>
        <v>-39400000</v>
      </c>
      <c r="M45" s="211"/>
      <c r="N45" s="211">
        <f>N33+N42</f>
        <v>-8000000</v>
      </c>
      <c r="O45" s="211"/>
      <c r="P45" s="212">
        <f>P33+P42</f>
        <v>-24880000</v>
      </c>
      <c r="S45" s="25"/>
      <c r="T45" s="25"/>
      <c r="U45" s="72"/>
      <c r="V45" s="25"/>
      <c r="W45" s="109"/>
      <c r="X45" s="57"/>
      <c r="Y45"/>
      <c r="Z45" s="109"/>
      <c r="AA45" s="25"/>
      <c r="AB45" s="25"/>
      <c r="AC45" s="108"/>
      <c r="AD45" s="25"/>
      <c r="AE45" s="108"/>
      <c r="AF45" s="25"/>
      <c r="AG45" s="25"/>
      <c r="AH45" s="40"/>
      <c r="AI45" s="164"/>
      <c r="AJ45" s="164"/>
      <c r="AK45" s="40"/>
    </row>
    <row r="46" spans="2:37" ht="16.5" thickTop="1">
      <c r="P46" s="3"/>
      <c r="S46" t="s">
        <v>211</v>
      </c>
      <c r="T46" s="155">
        <v>20000000</v>
      </c>
      <c r="U46" s="72"/>
      <c r="V46" s="25"/>
      <c r="W46" s="109"/>
      <c r="X46" s="25"/>
      <c r="AA46" s="25"/>
      <c r="AB46" s="25"/>
      <c r="AC46" s="108"/>
      <c r="AD46" s="25"/>
      <c r="AE46" s="108"/>
      <c r="AF46" s="40"/>
      <c r="AG46" s="25"/>
      <c r="AH46" s="25"/>
      <c r="AI46" s="25"/>
      <c r="AJ46" s="25"/>
      <c r="AK46" s="25"/>
    </row>
    <row r="47" spans="2:37">
      <c r="P47" s="3"/>
      <c r="Q47" s="25"/>
      <c r="R47" s="25"/>
      <c r="S47" t="s">
        <v>212</v>
      </c>
      <c r="T47" s="155">
        <v>10000000</v>
      </c>
      <c r="U47" s="78"/>
      <c r="V47" s="109"/>
      <c r="W47" s="25"/>
      <c r="X47" s="25"/>
      <c r="Z47" s="57"/>
      <c r="AA47" s="108"/>
      <c r="AB47" s="25"/>
      <c r="AC47" s="108"/>
      <c r="AD47" s="25"/>
      <c r="AE47" s="108"/>
      <c r="AF47" s="25"/>
      <c r="AG47" s="25"/>
      <c r="AH47" s="25"/>
      <c r="AI47" s="25"/>
      <c r="AJ47" s="25"/>
      <c r="AK47" s="25"/>
    </row>
    <row r="48" spans="2:37">
      <c r="B48" s="17"/>
      <c r="C48" s="17"/>
      <c r="D48" s="18"/>
      <c r="E48" s="17"/>
      <c r="F48" s="18"/>
      <c r="G48" s="17"/>
      <c r="H48" s="18"/>
      <c r="I48" s="17"/>
      <c r="J48" s="18"/>
      <c r="K48" s="17"/>
      <c r="L48" s="18"/>
      <c r="M48" s="17"/>
      <c r="N48" s="17"/>
      <c r="O48" s="17"/>
      <c r="P48" s="18"/>
      <c r="Q48" s="25"/>
      <c r="R48" s="55"/>
      <c r="S48" s="161"/>
      <c r="T48" s="25"/>
      <c r="U48" s="105"/>
      <c r="V48" s="25"/>
      <c r="W48" s="25"/>
      <c r="X48" s="25"/>
      <c r="Z48" s="57"/>
      <c r="AA48" s="108"/>
      <c r="AB48" s="25"/>
      <c r="AC48" s="108"/>
      <c r="AD48" s="57"/>
      <c r="AE48" s="108"/>
      <c r="AF48" s="25"/>
      <c r="AG48" s="25"/>
      <c r="AH48" s="25"/>
      <c r="AI48" s="25"/>
      <c r="AJ48" s="25"/>
      <c r="AK48" s="25"/>
    </row>
    <row r="49" spans="2:37">
      <c r="B49" s="290" t="s">
        <v>138</v>
      </c>
      <c r="C49" s="290"/>
      <c r="D49" s="291">
        <f>SUM(D36:J36)/P11</f>
        <v>-5.6299999999999996E-3</v>
      </c>
      <c r="E49" s="25"/>
      <c r="F49" s="56"/>
      <c r="G49" s="25"/>
      <c r="H49" s="25"/>
      <c r="I49" s="25"/>
      <c r="J49" s="25"/>
      <c r="K49" s="25"/>
      <c r="L49" s="25"/>
      <c r="M49" s="25"/>
      <c r="N49" s="25"/>
      <c r="O49" s="25"/>
      <c r="P49" s="57"/>
      <c r="Q49" s="25"/>
      <c r="R49" s="25"/>
      <c r="S49" s="69"/>
      <c r="T49" s="25"/>
      <c r="U49" s="78"/>
      <c r="V49" s="25"/>
      <c r="W49" s="25"/>
      <c r="X49" s="25"/>
      <c r="Z49" s="57"/>
      <c r="AA49" s="108"/>
      <c r="AB49" s="25"/>
      <c r="AC49" s="108"/>
      <c r="AD49" s="57"/>
      <c r="AE49" s="108"/>
      <c r="AF49" s="25"/>
      <c r="AG49" s="25"/>
      <c r="AH49" s="25"/>
      <c r="AI49" s="109"/>
      <c r="AJ49" s="109"/>
      <c r="AK49" s="25"/>
    </row>
    <row r="50" spans="2:37">
      <c r="B50" s="25"/>
      <c r="C50" s="25"/>
      <c r="D50" s="71"/>
      <c r="E50" s="25"/>
      <c r="F50" s="25"/>
      <c r="G50" s="25"/>
      <c r="H50" s="25"/>
      <c r="I50" s="25"/>
      <c r="J50" s="25"/>
      <c r="K50" s="25"/>
      <c r="L50" s="25"/>
      <c r="M50" s="25"/>
      <c r="N50" s="56"/>
      <c r="O50" s="25"/>
      <c r="P50" s="57"/>
      <c r="Q50" s="25"/>
      <c r="R50" s="25"/>
      <c r="T50" s="25"/>
      <c r="U50" s="25"/>
      <c r="V50" s="25"/>
      <c r="W50" s="25"/>
      <c r="X50" s="25"/>
      <c r="Z50" s="57"/>
      <c r="AA50" s="108"/>
      <c r="AB50" s="25"/>
      <c r="AC50" s="108"/>
      <c r="AD50" s="57"/>
      <c r="AE50" s="108"/>
      <c r="AF50" s="25"/>
      <c r="AG50" s="25"/>
      <c r="AH50" s="25"/>
      <c r="AI50" s="25"/>
      <c r="AJ50" s="25"/>
      <c r="AK50" s="25"/>
    </row>
    <row r="51" spans="2:37">
      <c r="B51" s="25"/>
      <c r="C51" s="25"/>
      <c r="D51" s="63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25"/>
      <c r="P51" s="56"/>
      <c r="Q51" s="25"/>
      <c r="R51" s="25"/>
      <c r="AA51" s="162"/>
      <c r="AB51" s="57"/>
      <c r="AC51" s="162"/>
      <c r="AD51" s="25"/>
      <c r="AE51" s="162"/>
      <c r="AF51" s="25"/>
      <c r="AG51" s="25"/>
      <c r="AH51" s="25"/>
      <c r="AI51" s="165"/>
      <c r="AJ51" s="165"/>
      <c r="AK51" s="25"/>
    </row>
    <row r="52" spans="2:37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AA52" s="25"/>
      <c r="AB52" s="57"/>
      <c r="AC52" s="111"/>
      <c r="AD52" s="57"/>
      <c r="AE52" s="111"/>
      <c r="AF52" s="57"/>
      <c r="AG52" s="25"/>
      <c r="AH52" s="25"/>
      <c r="AI52" s="25"/>
      <c r="AJ52" s="25"/>
      <c r="AK52" s="25"/>
    </row>
    <row r="53" spans="2:37">
      <c r="B53" s="25"/>
      <c r="C53" s="25"/>
      <c r="D53" s="72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AA53" s="57"/>
      <c r="AB53" s="57"/>
      <c r="AC53" s="109"/>
      <c r="AD53" s="57"/>
      <c r="AE53" s="57"/>
      <c r="AF53" s="109"/>
      <c r="AG53" s="25"/>
      <c r="AH53" s="25"/>
      <c r="AI53" s="25"/>
    </row>
    <row r="54" spans="2:37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AA54" s="25"/>
      <c r="AB54" s="25"/>
      <c r="AC54" s="109"/>
      <c r="AD54" s="25"/>
      <c r="AE54" s="57"/>
      <c r="AF54" s="109"/>
      <c r="AG54" s="25"/>
      <c r="AH54" s="25"/>
      <c r="AI54" s="25"/>
    </row>
    <row r="55" spans="2:37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AA55" s="25"/>
      <c r="AB55" s="25"/>
      <c r="AC55" s="25"/>
      <c r="AD55" s="25"/>
      <c r="AE55" s="57"/>
      <c r="AF55" s="57"/>
      <c r="AG55" s="25"/>
      <c r="AH55" s="25"/>
      <c r="AI55" s="25"/>
    </row>
    <row r="56" spans="2:37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AA56" s="25"/>
      <c r="AB56" s="25"/>
      <c r="AC56" s="25"/>
      <c r="AD56" s="25"/>
      <c r="AE56" s="57"/>
      <c r="AF56" s="57"/>
      <c r="AG56" s="25"/>
      <c r="AH56" s="25"/>
      <c r="AI56" s="25"/>
    </row>
    <row r="57" spans="2:37">
      <c r="B57" s="4" t="s">
        <v>4</v>
      </c>
      <c r="R57" s="25"/>
      <c r="AA57" s="25"/>
      <c r="AB57" s="25"/>
      <c r="AC57" s="25"/>
      <c r="AD57" s="25"/>
      <c r="AE57" s="57"/>
      <c r="AF57" s="57"/>
      <c r="AG57" s="25"/>
      <c r="AH57" s="25"/>
      <c r="AI57" s="25"/>
    </row>
    <row r="58" spans="2:37">
      <c r="H58" s="61"/>
      <c r="R58" s="25"/>
      <c r="AE58" s="25"/>
      <c r="AF58" s="25"/>
      <c r="AG58" s="25"/>
    </row>
    <row r="59" spans="2:37">
      <c r="B59" s="227"/>
      <c r="C59" s="228"/>
      <c r="D59" s="228"/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228"/>
      <c r="P59" s="228"/>
      <c r="R59" s="7"/>
      <c r="S59" s="7" t="s">
        <v>4</v>
      </c>
      <c r="T59" s="7" t="s">
        <v>91</v>
      </c>
      <c r="U59" s="7" t="s">
        <v>43</v>
      </c>
      <c r="V59" s="7" t="s">
        <v>44</v>
      </c>
      <c r="W59" s="7" t="s">
        <v>45</v>
      </c>
      <c r="X59" s="7" t="s">
        <v>46</v>
      </c>
      <c r="Y59" s="7" t="s">
        <v>47</v>
      </c>
      <c r="Z59" s="7" t="s">
        <v>48</v>
      </c>
      <c r="AA59" s="7" t="s">
        <v>49</v>
      </c>
      <c r="AB59" s="7" t="s">
        <v>50</v>
      </c>
      <c r="AC59" s="7" t="s">
        <v>51</v>
      </c>
      <c r="AD59" s="7" t="s">
        <v>52</v>
      </c>
      <c r="AE59" s="7"/>
      <c r="AF59" s="7"/>
    </row>
    <row r="60" spans="2:37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R60" s="102" t="s">
        <v>1</v>
      </c>
      <c r="S60" s="103"/>
    </row>
    <row r="61" spans="2:37">
      <c r="B61" s="25"/>
      <c r="C61" s="25"/>
      <c r="D61" s="229"/>
      <c r="E61" s="229"/>
      <c r="F61" s="229"/>
      <c r="G61" s="229"/>
      <c r="H61" s="229"/>
      <c r="I61" s="229"/>
      <c r="J61" s="229"/>
      <c r="K61" s="229"/>
      <c r="L61" s="229"/>
      <c r="M61" s="25"/>
      <c r="N61" s="25"/>
      <c r="O61" s="25"/>
      <c r="P61" s="229"/>
      <c r="S61" s="17" t="s">
        <v>89</v>
      </c>
      <c r="T61" s="17"/>
    </row>
    <row r="62" spans="2:37">
      <c r="B62" s="25"/>
      <c r="C62" s="25"/>
      <c r="D62" s="229"/>
      <c r="E62" s="229"/>
      <c r="F62" s="229"/>
      <c r="G62" s="229"/>
      <c r="H62" s="229"/>
      <c r="I62" s="229"/>
      <c r="J62" s="229"/>
      <c r="K62" s="229"/>
      <c r="L62" s="229"/>
      <c r="M62" s="25"/>
      <c r="N62" s="25"/>
      <c r="O62" s="25"/>
      <c r="P62" s="229"/>
      <c r="S62" s="91" t="s">
        <v>115</v>
      </c>
      <c r="T62" s="91"/>
      <c r="U62" s="33">
        <f t="shared" ref="U62:AD62" si="1">U68/(1-$D$8)</f>
        <v>50761421.319796957</v>
      </c>
      <c r="V62" s="33">
        <f>V68/(1-$D$8)</f>
        <v>76142131.979695439</v>
      </c>
      <c r="W62" s="33">
        <f>W68/(1-$D$8)</f>
        <v>126903553.29949239</v>
      </c>
      <c r="X62" s="33">
        <f t="shared" si="1"/>
        <v>203045685.27918783</v>
      </c>
      <c r="Y62" s="33">
        <f t="shared" si="1"/>
        <v>304568527.91878176</v>
      </c>
      <c r="Z62" s="33">
        <f t="shared" si="1"/>
        <v>406091370.55837566</v>
      </c>
      <c r="AA62" s="33">
        <f t="shared" si="1"/>
        <v>507614213.19796956</v>
      </c>
      <c r="AB62" s="33">
        <f t="shared" si="1"/>
        <v>659898477.15736043</v>
      </c>
      <c r="AC62" s="33">
        <f t="shared" si="1"/>
        <v>812182741.11675131</v>
      </c>
      <c r="AD62" s="33">
        <f t="shared" si="1"/>
        <v>1015228426.3959391</v>
      </c>
      <c r="AF62" s="47">
        <f>SUM(U62:AD62)</f>
        <v>4162436548.2233505</v>
      </c>
    </row>
    <row r="63" spans="2:37">
      <c r="B63" s="25"/>
      <c r="C63" s="25"/>
      <c r="D63" s="109"/>
      <c r="E63" s="229"/>
      <c r="F63" s="109"/>
      <c r="G63" s="229"/>
      <c r="H63" s="109"/>
      <c r="I63" s="229"/>
      <c r="J63" s="109"/>
      <c r="K63" s="229"/>
      <c r="L63" s="109"/>
      <c r="M63" s="25"/>
      <c r="N63" s="25"/>
      <c r="O63" s="25"/>
      <c r="P63" s="229"/>
      <c r="S63" s="91" t="s">
        <v>88</v>
      </c>
      <c r="T63" s="91"/>
      <c r="U63" s="33">
        <f t="shared" ref="U63:AD63" si="2">U69/(1-$F$8)</f>
        <v>0</v>
      </c>
      <c r="V63" s="33">
        <f t="shared" si="2"/>
        <v>0</v>
      </c>
      <c r="W63" s="33">
        <f t="shared" si="2"/>
        <v>0</v>
      </c>
      <c r="X63" s="33">
        <f t="shared" si="2"/>
        <v>0</v>
      </c>
      <c r="Y63" s="33">
        <f t="shared" si="2"/>
        <v>0</v>
      </c>
      <c r="Z63" s="33">
        <f t="shared" si="2"/>
        <v>0</v>
      </c>
      <c r="AA63" s="33">
        <f t="shared" si="2"/>
        <v>0</v>
      </c>
      <c r="AB63" s="33">
        <f t="shared" si="2"/>
        <v>0</v>
      </c>
      <c r="AC63" s="33">
        <f t="shared" si="2"/>
        <v>0</v>
      </c>
      <c r="AD63" s="33">
        <f t="shared" si="2"/>
        <v>0</v>
      </c>
      <c r="AF63" s="47">
        <f>SUM(U63:AD63)</f>
        <v>0</v>
      </c>
    </row>
    <row r="64" spans="2:37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91" t="s">
        <v>87</v>
      </c>
      <c r="T64" s="91"/>
      <c r="U64" s="33">
        <f t="shared" ref="U64:AD64" si="3">U70/(1-$H$8)</f>
        <v>0</v>
      </c>
      <c r="V64" s="33">
        <f t="shared" si="3"/>
        <v>0</v>
      </c>
      <c r="W64" s="33">
        <f t="shared" si="3"/>
        <v>0</v>
      </c>
      <c r="X64" s="33">
        <f t="shared" si="3"/>
        <v>0</v>
      </c>
      <c r="Y64" s="33">
        <f t="shared" si="3"/>
        <v>0</v>
      </c>
      <c r="Z64" s="33">
        <f t="shared" si="3"/>
        <v>0</v>
      </c>
      <c r="AA64" s="33">
        <f t="shared" si="3"/>
        <v>0</v>
      </c>
      <c r="AB64" s="33">
        <f t="shared" si="3"/>
        <v>0</v>
      </c>
      <c r="AC64" s="33">
        <f t="shared" si="3"/>
        <v>0</v>
      </c>
      <c r="AD64" s="33">
        <f t="shared" si="3"/>
        <v>0</v>
      </c>
      <c r="AF64" s="47">
        <f>SUM(U64:AD64)</f>
        <v>0</v>
      </c>
    </row>
    <row r="65" spans="2:33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56"/>
      <c r="O65" s="25"/>
      <c r="P65" s="229"/>
      <c r="S65" s="53" t="s">
        <v>28</v>
      </c>
      <c r="T65" s="53"/>
      <c r="U65" s="86">
        <f t="shared" ref="U65:AD65" si="4">SUM(U62:U64)</f>
        <v>50761421.319796957</v>
      </c>
      <c r="V65" s="86">
        <f t="shared" si="4"/>
        <v>76142131.979695439</v>
      </c>
      <c r="W65" s="86">
        <f t="shared" si="4"/>
        <v>126903553.29949239</v>
      </c>
      <c r="X65" s="86">
        <f t="shared" si="4"/>
        <v>203045685.27918783</v>
      </c>
      <c r="Y65" s="86">
        <f t="shared" si="4"/>
        <v>304568527.91878176</v>
      </c>
      <c r="Z65" s="86">
        <f t="shared" si="4"/>
        <v>406091370.55837566</v>
      </c>
      <c r="AA65" s="86">
        <f t="shared" si="4"/>
        <v>507614213.19796956</v>
      </c>
      <c r="AB65" s="86">
        <f t="shared" si="4"/>
        <v>659898477.15736043</v>
      </c>
      <c r="AC65" s="86">
        <f t="shared" si="4"/>
        <v>812182741.11675131</v>
      </c>
      <c r="AD65" s="86">
        <f t="shared" si="4"/>
        <v>1015228426.3959391</v>
      </c>
      <c r="AE65" s="48"/>
      <c r="AF65" s="49">
        <f>SUM(U65:AD65)</f>
        <v>4162436548.2233505</v>
      </c>
    </row>
    <row r="66" spans="2:33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56"/>
      <c r="M66" s="25"/>
      <c r="N66" s="25"/>
      <c r="O66" s="25"/>
      <c r="P66" s="229"/>
    </row>
    <row r="67" spans="2:33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S67" s="17" t="s">
        <v>20</v>
      </c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</row>
    <row r="68" spans="2:33">
      <c r="B68" s="25"/>
      <c r="C68" s="25"/>
      <c r="D68" s="230"/>
      <c r="E68" s="230"/>
      <c r="F68" s="230"/>
      <c r="G68" s="230"/>
      <c r="H68" s="230"/>
      <c r="I68" s="230"/>
      <c r="J68" s="230"/>
      <c r="K68" s="230"/>
      <c r="L68" s="230"/>
      <c r="M68" s="25"/>
      <c r="N68" s="230"/>
      <c r="O68" s="25"/>
      <c r="P68" s="111"/>
      <c r="S68" s="91" t="s">
        <v>115</v>
      </c>
      <c r="T68" s="91"/>
      <c r="U68" s="50">
        <f t="shared" ref="U68:AD68" si="5">($D$11/$P$11)*U71</f>
        <v>50000000</v>
      </c>
      <c r="V68" s="50">
        <f>($D$11/$P$11)*V71</f>
        <v>75000000</v>
      </c>
      <c r="W68" s="50">
        <f t="shared" si="5"/>
        <v>125000000</v>
      </c>
      <c r="X68" s="50">
        <f>($D$11/$P$11)*X71</f>
        <v>200000000</v>
      </c>
      <c r="Y68" s="50">
        <f t="shared" si="5"/>
        <v>300000000</v>
      </c>
      <c r="Z68" s="50">
        <f t="shared" si="5"/>
        <v>400000000</v>
      </c>
      <c r="AA68" s="50">
        <f t="shared" si="5"/>
        <v>500000000</v>
      </c>
      <c r="AB68" s="50">
        <f t="shared" si="5"/>
        <v>650000000</v>
      </c>
      <c r="AC68" s="50">
        <f t="shared" si="5"/>
        <v>800000000</v>
      </c>
      <c r="AD68" s="50">
        <f t="shared" si="5"/>
        <v>1000000000</v>
      </c>
      <c r="AF68" s="47">
        <f>SUM(U68:AD68)</f>
        <v>4100000000</v>
      </c>
    </row>
    <row r="69" spans="2:33">
      <c r="B69" s="25"/>
      <c r="C69" s="25"/>
      <c r="D69" s="229"/>
      <c r="E69" s="229"/>
      <c r="F69" s="229"/>
      <c r="G69" s="229"/>
      <c r="H69" s="229"/>
      <c r="I69" s="229"/>
      <c r="J69" s="229"/>
      <c r="K69" s="229"/>
      <c r="L69" s="56"/>
      <c r="M69" s="25"/>
      <c r="N69" s="56"/>
      <c r="O69" s="25"/>
      <c r="P69" s="229"/>
      <c r="S69" s="91" t="s">
        <v>88</v>
      </c>
      <c r="T69" s="91"/>
      <c r="U69" s="50">
        <f t="shared" ref="U69:AD69" si="6">U71-U68-U70</f>
        <v>0</v>
      </c>
      <c r="V69" s="50">
        <f t="shared" si="6"/>
        <v>0</v>
      </c>
      <c r="W69" s="50">
        <f t="shared" si="6"/>
        <v>0</v>
      </c>
      <c r="X69" s="50">
        <f t="shared" si="6"/>
        <v>0</v>
      </c>
      <c r="Y69" s="50">
        <f t="shared" si="6"/>
        <v>0</v>
      </c>
      <c r="Z69" s="50">
        <f t="shared" si="6"/>
        <v>0</v>
      </c>
      <c r="AA69" s="50">
        <f t="shared" si="6"/>
        <v>0</v>
      </c>
      <c r="AB69" s="50">
        <f t="shared" si="6"/>
        <v>0</v>
      </c>
      <c r="AC69" s="50">
        <f t="shared" si="6"/>
        <v>0</v>
      </c>
      <c r="AD69" s="50">
        <f t="shared" si="6"/>
        <v>0</v>
      </c>
      <c r="AF69" s="47">
        <f>SUM(U69:AD69)</f>
        <v>0</v>
      </c>
    </row>
    <row r="70" spans="2:33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S70" s="91" t="s">
        <v>87</v>
      </c>
      <c r="T70" s="91"/>
      <c r="U70" s="60">
        <f t="shared" ref="U70:AD70" si="7">($H$11/$P$11)*U71</f>
        <v>0</v>
      </c>
      <c r="V70" s="60">
        <f t="shared" si="7"/>
        <v>0</v>
      </c>
      <c r="W70" s="60">
        <f t="shared" si="7"/>
        <v>0</v>
      </c>
      <c r="X70" s="60">
        <f t="shared" si="7"/>
        <v>0</v>
      </c>
      <c r="Y70" s="60">
        <f t="shared" si="7"/>
        <v>0</v>
      </c>
      <c r="Z70" s="60">
        <f t="shared" si="7"/>
        <v>0</v>
      </c>
      <c r="AA70" s="60">
        <f t="shared" si="7"/>
        <v>0</v>
      </c>
      <c r="AB70" s="60">
        <f t="shared" si="7"/>
        <v>0</v>
      </c>
      <c r="AC70" s="60">
        <f t="shared" si="7"/>
        <v>0</v>
      </c>
      <c r="AD70" s="60">
        <f t="shared" si="7"/>
        <v>0</v>
      </c>
      <c r="AF70" s="47">
        <f>SUM(U70:AD70)</f>
        <v>0</v>
      </c>
    </row>
    <row r="71" spans="2:33">
      <c r="B71" s="25"/>
      <c r="C71" s="25"/>
      <c r="D71" s="230"/>
      <c r="E71" s="25"/>
      <c r="F71" s="230"/>
      <c r="G71" s="25"/>
      <c r="H71" s="230"/>
      <c r="I71" s="25"/>
      <c r="J71" s="230"/>
      <c r="K71" s="25"/>
      <c r="L71" s="230"/>
      <c r="M71" s="25"/>
      <c r="N71" s="25"/>
      <c r="O71" s="25"/>
      <c r="P71" s="111"/>
      <c r="S71" s="53" t="s">
        <v>86</v>
      </c>
      <c r="T71" s="53"/>
      <c r="U71" s="151">
        <v>50000000</v>
      </c>
      <c r="V71" s="151">
        <v>75000000</v>
      </c>
      <c r="W71" s="151">
        <v>125000000</v>
      </c>
      <c r="X71" s="151">
        <v>200000000</v>
      </c>
      <c r="Y71" s="151">
        <v>300000000</v>
      </c>
      <c r="Z71" s="151">
        <v>400000000</v>
      </c>
      <c r="AA71" s="151">
        <v>500000000</v>
      </c>
      <c r="AB71" s="151">
        <v>650000000</v>
      </c>
      <c r="AC71" s="151">
        <v>800000000</v>
      </c>
      <c r="AD71" s="151">
        <v>1000000000</v>
      </c>
      <c r="AE71" s="48"/>
      <c r="AF71" s="49">
        <f>SUM(U71:AD71)</f>
        <v>4100000000</v>
      </c>
    </row>
    <row r="72" spans="2:33">
      <c r="B72" s="25"/>
      <c r="C72" s="25"/>
      <c r="D72" s="56"/>
      <c r="E72" s="229"/>
      <c r="F72" s="56"/>
      <c r="G72" s="229"/>
      <c r="H72" s="56"/>
      <c r="I72" s="229"/>
      <c r="J72" s="56"/>
      <c r="K72" s="229"/>
      <c r="L72" s="56"/>
      <c r="M72" s="25"/>
      <c r="N72" s="25"/>
      <c r="O72" s="25"/>
      <c r="P72" s="56"/>
      <c r="S72" s="51"/>
      <c r="T72" s="51"/>
      <c r="U72" s="88"/>
      <c r="V72" s="189">
        <f>V71/U71-1</f>
        <v>0.5</v>
      </c>
      <c r="W72" s="189">
        <f t="shared" ref="W72:AD72" si="8">W71/V71-1</f>
        <v>0.66666666666666674</v>
      </c>
      <c r="X72" s="189">
        <f t="shared" si="8"/>
        <v>0.60000000000000009</v>
      </c>
      <c r="Y72" s="189">
        <f t="shared" si="8"/>
        <v>0.5</v>
      </c>
      <c r="Z72" s="189">
        <f t="shared" si="8"/>
        <v>0.33333333333333326</v>
      </c>
      <c r="AA72" s="189">
        <f t="shared" si="8"/>
        <v>0.25</v>
      </c>
      <c r="AB72" s="189">
        <f t="shared" si="8"/>
        <v>0.30000000000000004</v>
      </c>
      <c r="AC72" s="189">
        <f t="shared" si="8"/>
        <v>0.23076923076923084</v>
      </c>
      <c r="AD72" s="189">
        <f t="shared" si="8"/>
        <v>0.25</v>
      </c>
      <c r="AE72" s="3"/>
      <c r="AF72" s="87"/>
    </row>
    <row r="73" spans="2:33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57"/>
      <c r="S73" t="s">
        <v>70</v>
      </c>
      <c r="U73" s="92">
        <f t="shared" ref="U73:AD73" si="9">U71*$U$9</f>
        <v>5000000</v>
      </c>
      <c r="V73" s="92">
        <f t="shared" si="9"/>
        <v>7500000</v>
      </c>
      <c r="W73" s="92">
        <f t="shared" si="9"/>
        <v>12500000</v>
      </c>
      <c r="X73" s="92">
        <f t="shared" si="9"/>
        <v>20000000</v>
      </c>
      <c r="Y73" s="92">
        <f t="shared" si="9"/>
        <v>30000000</v>
      </c>
      <c r="Z73" s="92">
        <f t="shared" si="9"/>
        <v>40000000</v>
      </c>
      <c r="AA73" s="92">
        <f t="shared" si="9"/>
        <v>50000000</v>
      </c>
      <c r="AB73" s="92">
        <f t="shared" si="9"/>
        <v>65000000</v>
      </c>
      <c r="AC73" s="92">
        <f t="shared" si="9"/>
        <v>80000000</v>
      </c>
      <c r="AD73" s="92">
        <f t="shared" si="9"/>
        <v>100000000</v>
      </c>
      <c r="AE73" s="3"/>
      <c r="AF73" s="3"/>
      <c r="AG73" s="3"/>
    </row>
    <row r="74" spans="2:33">
      <c r="B74" s="25"/>
      <c r="C74" s="25"/>
      <c r="D74" s="230"/>
      <c r="E74" s="230"/>
      <c r="F74" s="230"/>
      <c r="G74" s="230"/>
      <c r="H74" s="230"/>
      <c r="I74" s="230"/>
      <c r="J74" s="230"/>
      <c r="K74" s="230"/>
      <c r="L74" s="230"/>
      <c r="M74" s="25"/>
      <c r="N74" s="25"/>
      <c r="O74" s="25"/>
      <c r="P74" s="111"/>
      <c r="S74" s="3"/>
      <c r="T74" s="3"/>
      <c r="U74" s="3"/>
      <c r="V74" s="3"/>
      <c r="W74" s="65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2:33" ht="16.5" thickBot="1">
      <c r="B75" s="25"/>
      <c r="C75" s="25"/>
      <c r="D75" s="56"/>
      <c r="E75" s="229"/>
      <c r="F75" s="56"/>
      <c r="G75" s="229"/>
      <c r="H75" s="56"/>
      <c r="I75" s="229"/>
      <c r="J75" s="56"/>
      <c r="K75" s="229"/>
      <c r="L75" s="56"/>
      <c r="M75" s="25"/>
      <c r="N75" s="25"/>
      <c r="O75" s="25"/>
      <c r="P75" s="56"/>
      <c r="S75" s="93" t="s">
        <v>21</v>
      </c>
      <c r="T75" s="93"/>
      <c r="U75" s="94">
        <f>U71+U73</f>
        <v>55000000</v>
      </c>
      <c r="V75" s="94">
        <f t="shared" ref="V75:AD75" si="10">V71+V73</f>
        <v>82500000</v>
      </c>
      <c r="W75" s="94">
        <f t="shared" si="10"/>
        <v>137500000</v>
      </c>
      <c r="X75" s="94">
        <f t="shared" si="10"/>
        <v>220000000</v>
      </c>
      <c r="Y75" s="94">
        <f t="shared" si="10"/>
        <v>330000000</v>
      </c>
      <c r="Z75" s="94">
        <f t="shared" si="10"/>
        <v>440000000</v>
      </c>
      <c r="AA75" s="94">
        <f t="shared" si="10"/>
        <v>550000000</v>
      </c>
      <c r="AB75" s="94">
        <f t="shared" si="10"/>
        <v>715000000</v>
      </c>
      <c r="AC75" s="94">
        <f t="shared" si="10"/>
        <v>880000000</v>
      </c>
      <c r="AD75" s="94">
        <f t="shared" si="10"/>
        <v>1100000000</v>
      </c>
      <c r="AE75" s="93"/>
      <c r="AF75" s="93"/>
      <c r="AG75" s="3"/>
    </row>
    <row r="76" spans="2:33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AG76" s="3"/>
    </row>
    <row r="77" spans="2:33">
      <c r="B77" s="25"/>
      <c r="C77" s="25"/>
      <c r="D77" s="230"/>
      <c r="E77" s="25"/>
      <c r="F77" s="230"/>
      <c r="G77" s="25"/>
      <c r="H77" s="230"/>
      <c r="I77" s="25"/>
      <c r="J77" s="230"/>
      <c r="K77" s="25"/>
      <c r="L77" s="230"/>
      <c r="M77" s="25"/>
      <c r="N77" s="25"/>
      <c r="O77" s="25"/>
      <c r="P77" s="111"/>
      <c r="S77" s="54" t="s">
        <v>6</v>
      </c>
      <c r="T77" s="3"/>
      <c r="U77" s="150">
        <v>0.2</v>
      </c>
      <c r="V77" s="150">
        <v>0.2</v>
      </c>
      <c r="W77" s="150">
        <v>0.2</v>
      </c>
      <c r="X77" s="150">
        <v>0.2</v>
      </c>
      <c r="Y77" s="150">
        <v>0.2</v>
      </c>
      <c r="Z77" s="150">
        <v>0.2</v>
      </c>
      <c r="AA77" s="150">
        <v>0.17</v>
      </c>
      <c r="AB77" s="150">
        <v>0.17</v>
      </c>
      <c r="AC77" s="150">
        <v>0.15</v>
      </c>
      <c r="AD77" s="150">
        <v>0.15</v>
      </c>
      <c r="AE77" s="3"/>
      <c r="AF77" s="87"/>
      <c r="AG77" s="3"/>
    </row>
    <row r="78" spans="2:33">
      <c r="B78" s="55"/>
      <c r="C78" s="55"/>
      <c r="D78" s="231"/>
      <c r="E78" s="55"/>
      <c r="F78" s="231"/>
      <c r="G78" s="55"/>
      <c r="H78" s="232"/>
      <c r="I78" s="55"/>
      <c r="J78" s="231"/>
      <c r="K78" s="55"/>
      <c r="L78" s="231"/>
      <c r="M78" s="55"/>
      <c r="N78" s="231"/>
      <c r="O78" s="55"/>
      <c r="P78" s="233"/>
      <c r="S78" s="89" t="s">
        <v>101</v>
      </c>
      <c r="T78" s="89"/>
      <c r="U78" s="87">
        <f>U75*U77</f>
        <v>11000000</v>
      </c>
      <c r="V78" s="87">
        <f t="shared" ref="V78:AD78" si="11">V75*V77</f>
        <v>16500000</v>
      </c>
      <c r="W78" s="87">
        <f t="shared" si="11"/>
        <v>27500000</v>
      </c>
      <c r="X78" s="87">
        <f t="shared" si="11"/>
        <v>44000000</v>
      </c>
      <c r="Y78" s="87">
        <f t="shared" si="11"/>
        <v>66000000</v>
      </c>
      <c r="Z78" s="87">
        <f t="shared" si="11"/>
        <v>88000000</v>
      </c>
      <c r="AA78" s="87">
        <f t="shared" si="11"/>
        <v>93500000</v>
      </c>
      <c r="AB78" s="87">
        <f t="shared" si="11"/>
        <v>121550000.00000001</v>
      </c>
      <c r="AC78" s="87">
        <f t="shared" si="11"/>
        <v>132000000</v>
      </c>
      <c r="AD78" s="87">
        <f t="shared" si="11"/>
        <v>165000000</v>
      </c>
      <c r="AE78" s="3"/>
      <c r="AF78" s="87"/>
      <c r="AG78" s="3"/>
    </row>
    <row r="79" spans="2:33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AG79" s="3"/>
    </row>
    <row r="80" spans="2:33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56"/>
      <c r="S80" t="s">
        <v>102</v>
      </c>
      <c r="U80" s="36">
        <f>U75-U78</f>
        <v>44000000</v>
      </c>
      <c r="V80" s="36">
        <f t="shared" ref="V80:AD80" si="12">V75-V78</f>
        <v>66000000</v>
      </c>
      <c r="W80" s="36">
        <f t="shared" si="12"/>
        <v>110000000</v>
      </c>
      <c r="X80" s="36">
        <f t="shared" si="12"/>
        <v>176000000</v>
      </c>
      <c r="Y80" s="36">
        <f t="shared" si="12"/>
        <v>264000000</v>
      </c>
      <c r="Z80" s="36">
        <f t="shared" si="12"/>
        <v>352000000</v>
      </c>
      <c r="AA80" s="36">
        <f t="shared" si="12"/>
        <v>456500000</v>
      </c>
      <c r="AB80" s="36">
        <f t="shared" si="12"/>
        <v>593450000</v>
      </c>
      <c r="AC80" s="36">
        <f t="shared" si="12"/>
        <v>748000000</v>
      </c>
      <c r="AD80" s="36">
        <f t="shared" si="12"/>
        <v>935000000</v>
      </c>
      <c r="AG80" s="3"/>
    </row>
    <row r="81" spans="2:33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S81" t="s">
        <v>74</v>
      </c>
      <c r="U81" s="19">
        <f>U80/U65</f>
        <v>0.8667999999999999</v>
      </c>
      <c r="V81" s="19">
        <f t="shared" ref="V81:AD81" si="13">V80/V65</f>
        <v>0.8667999999999999</v>
      </c>
      <c r="W81" s="19">
        <f t="shared" si="13"/>
        <v>0.86680000000000001</v>
      </c>
      <c r="X81" s="19">
        <f t="shared" si="13"/>
        <v>0.8667999999999999</v>
      </c>
      <c r="Y81" s="19">
        <f t="shared" si="13"/>
        <v>0.8667999999999999</v>
      </c>
      <c r="Z81" s="19">
        <f t="shared" si="13"/>
        <v>0.8667999999999999</v>
      </c>
      <c r="AA81" s="19">
        <f t="shared" si="13"/>
        <v>0.89930500000000002</v>
      </c>
      <c r="AB81" s="19">
        <f t="shared" si="13"/>
        <v>0.89930499999999991</v>
      </c>
      <c r="AC81" s="19">
        <f t="shared" si="13"/>
        <v>0.92097499999999999</v>
      </c>
      <c r="AD81" s="19">
        <f t="shared" si="13"/>
        <v>0.92097499999999999</v>
      </c>
      <c r="AG81" s="3"/>
    </row>
    <row r="82" spans="2:33"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233"/>
      <c r="AG82" s="3"/>
    </row>
    <row r="83" spans="2:33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R83" s="102" t="s">
        <v>0</v>
      </c>
      <c r="S83" s="103"/>
      <c r="AG83" s="3"/>
    </row>
    <row r="84" spans="2:33">
      <c r="B84" s="40"/>
      <c r="C84" s="40"/>
      <c r="D84" s="163"/>
      <c r="E84" s="40"/>
      <c r="F84" s="163"/>
      <c r="G84" s="40"/>
      <c r="H84" s="40"/>
      <c r="I84" s="40"/>
      <c r="J84" s="163"/>
      <c r="K84" s="40"/>
      <c r="L84" s="163"/>
      <c r="M84" s="40"/>
      <c r="N84" s="40"/>
      <c r="O84" s="40"/>
      <c r="P84" s="163"/>
      <c r="S84" s="3" t="s">
        <v>10</v>
      </c>
      <c r="T84" s="3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3"/>
      <c r="AF84" s="87"/>
      <c r="AG84" s="3"/>
    </row>
    <row r="85" spans="2:33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S85" s="95" t="s">
        <v>115</v>
      </c>
      <c r="T85" s="95"/>
      <c r="U85" s="65">
        <f>U68*$D$18</f>
        <v>2000000</v>
      </c>
      <c r="V85" s="65">
        <f t="shared" ref="V85:AD85" si="14">V68*$D$18</f>
        <v>3000000</v>
      </c>
      <c r="W85" s="65">
        <f t="shared" si="14"/>
        <v>5000000</v>
      </c>
      <c r="X85" s="65">
        <f t="shared" si="14"/>
        <v>8000000</v>
      </c>
      <c r="Y85" s="65">
        <f t="shared" si="14"/>
        <v>12000000</v>
      </c>
      <c r="Z85" s="65">
        <f t="shared" si="14"/>
        <v>16000000</v>
      </c>
      <c r="AA85" s="65">
        <f t="shared" si="14"/>
        <v>20000000</v>
      </c>
      <c r="AB85" s="65">
        <f t="shared" si="14"/>
        <v>26000000</v>
      </c>
      <c r="AC85" s="65">
        <f t="shared" si="14"/>
        <v>32000000</v>
      </c>
      <c r="AD85" s="65">
        <f t="shared" si="14"/>
        <v>40000000</v>
      </c>
      <c r="AE85" s="3"/>
      <c r="AF85" s="87"/>
      <c r="AG85" s="3"/>
    </row>
    <row r="86" spans="2:33">
      <c r="S86" s="95" t="s">
        <v>88</v>
      </c>
      <c r="T86" s="95"/>
      <c r="U86" s="65">
        <f t="shared" ref="U86:AD86" si="15">U69*$F$18</f>
        <v>0</v>
      </c>
      <c r="V86" s="65">
        <f t="shared" si="15"/>
        <v>0</v>
      </c>
      <c r="W86" s="65">
        <f t="shared" si="15"/>
        <v>0</v>
      </c>
      <c r="X86" s="65">
        <f t="shared" si="15"/>
        <v>0</v>
      </c>
      <c r="Y86" s="65">
        <f t="shared" si="15"/>
        <v>0</v>
      </c>
      <c r="Z86" s="65">
        <f t="shared" si="15"/>
        <v>0</v>
      </c>
      <c r="AA86" s="65">
        <f t="shared" si="15"/>
        <v>0</v>
      </c>
      <c r="AB86" s="65">
        <f t="shared" si="15"/>
        <v>0</v>
      </c>
      <c r="AC86" s="65">
        <f t="shared" si="15"/>
        <v>0</v>
      </c>
      <c r="AD86" s="65">
        <f t="shared" si="15"/>
        <v>0</v>
      </c>
      <c r="AE86" s="3"/>
      <c r="AF86" s="87"/>
      <c r="AG86" s="3"/>
    </row>
    <row r="87" spans="2:33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S87" s="95" t="s">
        <v>87</v>
      </c>
      <c r="T87" s="95"/>
      <c r="U87" s="65">
        <f t="shared" ref="U87:AD87" si="16">U70*$H$18</f>
        <v>0</v>
      </c>
      <c r="V87" s="65">
        <f t="shared" si="16"/>
        <v>0</v>
      </c>
      <c r="W87" s="65">
        <f t="shared" si="16"/>
        <v>0</v>
      </c>
      <c r="X87" s="65">
        <f t="shared" si="16"/>
        <v>0</v>
      </c>
      <c r="Y87" s="65">
        <f t="shared" si="16"/>
        <v>0</v>
      </c>
      <c r="Z87" s="65">
        <f t="shared" si="16"/>
        <v>0</v>
      </c>
      <c r="AA87" s="65">
        <f t="shared" si="16"/>
        <v>0</v>
      </c>
      <c r="AB87" s="65">
        <f t="shared" si="16"/>
        <v>0</v>
      </c>
      <c r="AC87" s="65">
        <f t="shared" si="16"/>
        <v>0</v>
      </c>
      <c r="AD87" s="65">
        <f t="shared" si="16"/>
        <v>0</v>
      </c>
      <c r="AE87" s="3"/>
      <c r="AF87" s="87"/>
      <c r="AG87" s="3"/>
    </row>
    <row r="88" spans="2:33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S88" s="95" t="s">
        <v>41</v>
      </c>
      <c r="T88" s="95"/>
      <c r="U88" s="65">
        <f>U73*$T$21</f>
        <v>100000</v>
      </c>
      <c r="V88" s="65">
        <f t="shared" ref="V88:AC88" si="17">V73*$T$21</f>
        <v>150000</v>
      </c>
      <c r="W88" s="65">
        <f t="shared" si="17"/>
        <v>250000</v>
      </c>
      <c r="X88" s="65">
        <f t="shared" si="17"/>
        <v>400000</v>
      </c>
      <c r="Y88" s="65">
        <f t="shared" si="17"/>
        <v>600000</v>
      </c>
      <c r="Z88" s="65">
        <f t="shared" si="17"/>
        <v>800000</v>
      </c>
      <c r="AA88" s="65">
        <f t="shared" si="17"/>
        <v>1000000</v>
      </c>
      <c r="AB88" s="65">
        <f t="shared" si="17"/>
        <v>1300000</v>
      </c>
      <c r="AC88" s="65">
        <f t="shared" si="17"/>
        <v>1600000</v>
      </c>
      <c r="AD88" s="65">
        <f>AD73*$T$21</f>
        <v>2000000</v>
      </c>
      <c r="AE88" s="3"/>
      <c r="AF88" s="3"/>
      <c r="AG88" s="3"/>
    </row>
    <row r="89" spans="2:33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R89" s="25"/>
      <c r="S89" s="96" t="s">
        <v>92</v>
      </c>
      <c r="T89" s="96"/>
      <c r="U89" s="97">
        <f t="shared" ref="U89:AD89" si="18">SUM(U85:U88)</f>
        <v>2100000</v>
      </c>
      <c r="V89" s="97">
        <f t="shared" si="18"/>
        <v>3150000</v>
      </c>
      <c r="W89" s="97">
        <f t="shared" si="18"/>
        <v>5250000</v>
      </c>
      <c r="X89" s="97">
        <f t="shared" si="18"/>
        <v>8400000</v>
      </c>
      <c r="Y89" s="97">
        <f t="shared" si="18"/>
        <v>12600000</v>
      </c>
      <c r="Z89" s="97">
        <f t="shared" si="18"/>
        <v>16800000</v>
      </c>
      <c r="AA89" s="97">
        <f t="shared" si="18"/>
        <v>21000000</v>
      </c>
      <c r="AB89" s="97">
        <f t="shared" si="18"/>
        <v>27300000</v>
      </c>
      <c r="AC89" s="97">
        <f t="shared" si="18"/>
        <v>33600000</v>
      </c>
      <c r="AD89" s="97">
        <f t="shared" si="18"/>
        <v>42000000</v>
      </c>
      <c r="AE89" s="48"/>
      <c r="AF89" s="48"/>
    </row>
    <row r="90" spans="2:33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R90" s="25"/>
      <c r="S90" s="3"/>
      <c r="T90" s="3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3"/>
      <c r="AF90" s="3"/>
    </row>
    <row r="91" spans="2:33"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S91" s="3" t="s">
        <v>93</v>
      </c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2:33">
      <c r="B92" s="5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S92" s="95" t="s">
        <v>115</v>
      </c>
      <c r="T92" s="95"/>
      <c r="U92" s="87">
        <f t="shared" ref="U92:AD92" si="19">-U62*U$81*$T$20</f>
        <v>-440000</v>
      </c>
      <c r="V92" s="87">
        <f t="shared" si="19"/>
        <v>-660000</v>
      </c>
      <c r="W92" s="87">
        <f t="shared" si="19"/>
        <v>-1100000</v>
      </c>
      <c r="X92" s="87">
        <f t="shared" si="19"/>
        <v>-1760000</v>
      </c>
      <c r="Y92" s="87">
        <f t="shared" si="19"/>
        <v>-2640000</v>
      </c>
      <c r="Z92" s="87">
        <f t="shared" si="19"/>
        <v>-3520000</v>
      </c>
      <c r="AA92" s="87">
        <f t="shared" si="19"/>
        <v>-4565000</v>
      </c>
      <c r="AB92" s="87">
        <f t="shared" si="19"/>
        <v>-5934500</v>
      </c>
      <c r="AC92" s="87">
        <f t="shared" si="19"/>
        <v>-7480000</v>
      </c>
      <c r="AD92" s="87">
        <f t="shared" si="19"/>
        <v>-9350000</v>
      </c>
      <c r="AE92" s="25"/>
      <c r="AF92" s="25"/>
    </row>
    <row r="93" spans="2:33">
      <c r="B93" s="281"/>
      <c r="C93" s="281"/>
      <c r="D93" s="25"/>
      <c r="E93" s="25"/>
      <c r="F93" s="281"/>
      <c r="G93" s="281"/>
      <c r="H93" s="281"/>
      <c r="I93" s="281"/>
      <c r="J93" s="281"/>
      <c r="K93" s="281"/>
      <c r="L93" s="281"/>
      <c r="M93" s="25"/>
      <c r="N93" s="25"/>
      <c r="O93" s="25"/>
      <c r="P93" s="25"/>
      <c r="S93" s="95" t="s">
        <v>88</v>
      </c>
      <c r="T93" s="95"/>
      <c r="U93" s="87">
        <f t="shared" ref="U93:AD93" si="20">-U63*U$81*$T$20</f>
        <v>0</v>
      </c>
      <c r="V93" s="87">
        <f t="shared" si="20"/>
        <v>0</v>
      </c>
      <c r="W93" s="87">
        <f t="shared" si="20"/>
        <v>0</v>
      </c>
      <c r="X93" s="87">
        <f t="shared" si="20"/>
        <v>0</v>
      </c>
      <c r="Y93" s="87">
        <f t="shared" si="20"/>
        <v>0</v>
      </c>
      <c r="Z93" s="87">
        <f t="shared" si="20"/>
        <v>0</v>
      </c>
      <c r="AA93" s="87">
        <f t="shared" si="20"/>
        <v>0</v>
      </c>
      <c r="AB93" s="87">
        <f t="shared" si="20"/>
        <v>0</v>
      </c>
      <c r="AC93" s="87">
        <f t="shared" si="20"/>
        <v>0</v>
      </c>
      <c r="AD93" s="87">
        <f t="shared" si="20"/>
        <v>0</v>
      </c>
      <c r="AE93" s="3"/>
      <c r="AF93" s="3"/>
    </row>
    <row r="94" spans="2:33">
      <c r="B94" s="282"/>
      <c r="C94" s="25"/>
      <c r="D94" s="109"/>
      <c r="E94" s="25"/>
      <c r="F94" s="229"/>
      <c r="G94" s="25"/>
      <c r="H94" s="110"/>
      <c r="I94" s="25"/>
      <c r="J94" s="56"/>
      <c r="K94" s="25"/>
      <c r="L94" s="56"/>
      <c r="M94" s="25"/>
      <c r="N94" s="25"/>
      <c r="O94" s="25"/>
      <c r="P94" s="25"/>
      <c r="S94" s="95" t="s">
        <v>87</v>
      </c>
      <c r="T94" s="95"/>
      <c r="U94" s="87">
        <f t="shared" ref="U94:AD94" si="21">-U64*U$81*$T$20</f>
        <v>0</v>
      </c>
      <c r="V94" s="87">
        <f t="shared" si="21"/>
        <v>0</v>
      </c>
      <c r="W94" s="87">
        <f t="shared" si="21"/>
        <v>0</v>
      </c>
      <c r="X94" s="87">
        <f t="shared" si="21"/>
        <v>0</v>
      </c>
      <c r="Y94" s="87">
        <f t="shared" si="21"/>
        <v>0</v>
      </c>
      <c r="Z94" s="87">
        <f t="shared" si="21"/>
        <v>0</v>
      </c>
      <c r="AA94" s="87">
        <f t="shared" si="21"/>
        <v>0</v>
      </c>
      <c r="AB94" s="87">
        <f t="shared" si="21"/>
        <v>0</v>
      </c>
      <c r="AC94" s="87">
        <f t="shared" si="21"/>
        <v>0</v>
      </c>
      <c r="AD94" s="87">
        <f t="shared" si="21"/>
        <v>0</v>
      </c>
      <c r="AE94" s="25"/>
      <c r="AF94" s="3"/>
    </row>
    <row r="95" spans="2:33">
      <c r="B95" s="282"/>
      <c r="C95" s="25"/>
      <c r="D95" s="109"/>
      <c r="E95" s="25"/>
      <c r="F95" s="229"/>
      <c r="G95" s="25"/>
      <c r="H95" s="110"/>
      <c r="I95" s="25"/>
      <c r="J95" s="56"/>
      <c r="K95" s="25"/>
      <c r="L95" s="56"/>
      <c r="M95" s="25"/>
      <c r="N95" s="25"/>
      <c r="O95" s="25"/>
      <c r="P95" s="25"/>
      <c r="S95" s="96" t="s">
        <v>94</v>
      </c>
      <c r="T95" s="96"/>
      <c r="U95" s="70">
        <f>SUM(U92:U94)</f>
        <v>-440000</v>
      </c>
      <c r="V95" s="70">
        <f t="shared" ref="V95:AD95" si="22">SUM(V92:V94)</f>
        <v>-660000</v>
      </c>
      <c r="W95" s="70">
        <f t="shared" si="22"/>
        <v>-1100000</v>
      </c>
      <c r="X95" s="70">
        <f t="shared" si="22"/>
        <v>-1760000</v>
      </c>
      <c r="Y95" s="70">
        <f t="shared" si="22"/>
        <v>-2640000</v>
      </c>
      <c r="Z95" s="70">
        <f t="shared" si="22"/>
        <v>-3520000</v>
      </c>
      <c r="AA95" s="70">
        <f t="shared" si="22"/>
        <v>-4565000</v>
      </c>
      <c r="AB95" s="70">
        <f t="shared" si="22"/>
        <v>-5934500</v>
      </c>
      <c r="AC95" s="70">
        <f t="shared" si="22"/>
        <v>-7480000</v>
      </c>
      <c r="AD95" s="70">
        <f t="shared" si="22"/>
        <v>-9350000</v>
      </c>
      <c r="AE95" s="48"/>
      <c r="AF95" s="48"/>
    </row>
    <row r="96" spans="2:33">
      <c r="B96" s="282"/>
      <c r="C96" s="25"/>
      <c r="D96" s="109"/>
      <c r="E96" s="25"/>
      <c r="F96" s="229"/>
      <c r="G96" s="25"/>
      <c r="H96" s="110"/>
      <c r="I96" s="25"/>
      <c r="J96" s="56"/>
      <c r="K96" s="25"/>
      <c r="L96" s="56"/>
      <c r="M96" s="25"/>
      <c r="N96" s="25"/>
      <c r="O96" s="25"/>
      <c r="P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</row>
    <row r="97" spans="2:32">
      <c r="B97" s="282"/>
      <c r="C97" s="25"/>
      <c r="D97" s="109"/>
      <c r="E97" s="25"/>
      <c r="F97" s="229"/>
      <c r="G97" s="25"/>
      <c r="H97" s="110"/>
      <c r="I97" s="25"/>
      <c r="J97" s="56"/>
      <c r="K97" s="25"/>
      <c r="L97" s="56"/>
      <c r="M97" s="25"/>
      <c r="N97" s="25"/>
      <c r="O97" s="25"/>
      <c r="P97" s="25"/>
      <c r="S97" s="3" t="s">
        <v>24</v>
      </c>
      <c r="T97" s="3"/>
    </row>
    <row r="98" spans="2:32">
      <c r="B98" s="282"/>
      <c r="C98" s="25"/>
      <c r="D98" s="109"/>
      <c r="E98" s="25"/>
      <c r="F98" s="229"/>
      <c r="G98" s="25"/>
      <c r="H98" s="110"/>
      <c r="I98" s="25"/>
      <c r="J98" s="56"/>
      <c r="K98" s="25"/>
      <c r="L98" s="56"/>
      <c r="M98" s="25"/>
      <c r="N98" s="25"/>
      <c r="O98" s="25"/>
      <c r="P98" s="25"/>
      <c r="S98" s="95" t="s">
        <v>115</v>
      </c>
      <c r="T98" s="95"/>
      <c r="U98" s="33">
        <f t="shared" ref="U98:AD98" si="23">-U68*$D$25</f>
        <v>-125000</v>
      </c>
      <c r="V98" s="33">
        <f t="shared" si="23"/>
        <v>-187500</v>
      </c>
      <c r="W98" s="33">
        <f t="shared" si="23"/>
        <v>-312500</v>
      </c>
      <c r="X98" s="33">
        <f t="shared" si="23"/>
        <v>-500000</v>
      </c>
      <c r="Y98" s="33">
        <f t="shared" si="23"/>
        <v>-750000</v>
      </c>
      <c r="Z98" s="33">
        <f t="shared" si="23"/>
        <v>-1000000</v>
      </c>
      <c r="AA98" s="33">
        <f t="shared" si="23"/>
        <v>-1250000</v>
      </c>
      <c r="AB98" s="33">
        <f t="shared" si="23"/>
        <v>-1625000</v>
      </c>
      <c r="AC98" s="33">
        <f t="shared" si="23"/>
        <v>-2000000</v>
      </c>
      <c r="AD98" s="33">
        <f t="shared" si="23"/>
        <v>-2500000</v>
      </c>
    </row>
    <row r="99" spans="2:32">
      <c r="B99" s="282"/>
      <c r="C99" s="25"/>
      <c r="D99" s="109"/>
      <c r="E99" s="25"/>
      <c r="F99" s="229"/>
      <c r="G99" s="25"/>
      <c r="H99" s="110"/>
      <c r="I99" s="25"/>
      <c r="J99" s="56"/>
      <c r="K99" s="25"/>
      <c r="L99" s="56"/>
      <c r="M99" s="25"/>
      <c r="N99" s="25"/>
      <c r="O99" s="25"/>
      <c r="P99" s="25"/>
      <c r="S99" s="95" t="s">
        <v>88</v>
      </c>
      <c r="T99" s="95"/>
      <c r="U99" s="33">
        <f t="shared" ref="U99:AD99" si="24">-U69*$F$25</f>
        <v>0</v>
      </c>
      <c r="V99" s="33">
        <f t="shared" si="24"/>
        <v>0</v>
      </c>
      <c r="W99" s="33">
        <f t="shared" si="24"/>
        <v>0</v>
      </c>
      <c r="X99" s="33">
        <f t="shared" si="24"/>
        <v>0</v>
      </c>
      <c r="Y99" s="33">
        <f t="shared" si="24"/>
        <v>0</v>
      </c>
      <c r="Z99" s="33">
        <f t="shared" si="24"/>
        <v>0</v>
      </c>
      <c r="AA99" s="33">
        <f t="shared" si="24"/>
        <v>0</v>
      </c>
      <c r="AB99" s="33">
        <f t="shared" si="24"/>
        <v>0</v>
      </c>
      <c r="AC99" s="33">
        <f t="shared" si="24"/>
        <v>0</v>
      </c>
      <c r="AD99" s="33">
        <f t="shared" si="24"/>
        <v>0</v>
      </c>
    </row>
    <row r="100" spans="2:32">
      <c r="B100" s="282"/>
      <c r="C100" s="25"/>
      <c r="D100" s="109"/>
      <c r="E100" s="25"/>
      <c r="F100" s="229"/>
      <c r="G100" s="25"/>
      <c r="H100" s="110"/>
      <c r="I100" s="25"/>
      <c r="J100" s="56"/>
      <c r="K100" s="25"/>
      <c r="L100" s="56"/>
      <c r="M100" s="25"/>
      <c r="N100" s="25"/>
      <c r="O100" s="25"/>
      <c r="P100" s="25"/>
      <c r="S100" s="95" t="s">
        <v>87</v>
      </c>
      <c r="T100" s="95"/>
      <c r="U100" s="33">
        <f t="shared" ref="U100:AD100" si="25">-U70*$H$25</f>
        <v>0</v>
      </c>
      <c r="V100" s="33">
        <f t="shared" si="25"/>
        <v>0</v>
      </c>
      <c r="W100" s="33">
        <f t="shared" si="25"/>
        <v>0</v>
      </c>
      <c r="X100" s="33">
        <f t="shared" si="25"/>
        <v>0</v>
      </c>
      <c r="Y100" s="33">
        <f t="shared" si="25"/>
        <v>0</v>
      </c>
      <c r="Z100" s="33">
        <f t="shared" si="25"/>
        <v>0</v>
      </c>
      <c r="AA100" s="33">
        <f t="shared" si="25"/>
        <v>0</v>
      </c>
      <c r="AB100" s="33">
        <f t="shared" si="25"/>
        <v>0</v>
      </c>
      <c r="AC100" s="33">
        <f t="shared" si="25"/>
        <v>0</v>
      </c>
      <c r="AD100" s="33">
        <f t="shared" si="25"/>
        <v>0</v>
      </c>
    </row>
    <row r="101" spans="2:3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S101" s="96" t="s">
        <v>95</v>
      </c>
      <c r="T101" s="96"/>
      <c r="U101" s="97">
        <f>SUM(U98:U100)</f>
        <v>-125000</v>
      </c>
      <c r="V101" s="97">
        <f t="shared" ref="V101:AD101" si="26">SUM(V98:V100)</f>
        <v>-187500</v>
      </c>
      <c r="W101" s="97">
        <f t="shared" si="26"/>
        <v>-312500</v>
      </c>
      <c r="X101" s="97">
        <f t="shared" si="26"/>
        <v>-500000</v>
      </c>
      <c r="Y101" s="97">
        <f t="shared" si="26"/>
        <v>-750000</v>
      </c>
      <c r="Z101" s="97">
        <f t="shared" si="26"/>
        <v>-1000000</v>
      </c>
      <c r="AA101" s="97">
        <f t="shared" si="26"/>
        <v>-1250000</v>
      </c>
      <c r="AB101" s="97">
        <f t="shared" si="26"/>
        <v>-1625000</v>
      </c>
      <c r="AC101" s="97">
        <f t="shared" si="26"/>
        <v>-2000000</v>
      </c>
      <c r="AD101" s="97">
        <f t="shared" si="26"/>
        <v>-2500000</v>
      </c>
      <c r="AE101" s="48"/>
      <c r="AF101" s="48"/>
    </row>
    <row r="102" spans="2:32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</row>
    <row r="103" spans="2:32">
      <c r="S103" s="3" t="s">
        <v>96</v>
      </c>
      <c r="T103" s="3"/>
    </row>
    <row r="104" spans="2:32">
      <c r="S104" s="95" t="s">
        <v>109</v>
      </c>
      <c r="T104" s="95"/>
      <c r="U104" s="36">
        <f t="shared" ref="U104:AD104" si="27">U85+U92+U98</f>
        <v>1435000</v>
      </c>
      <c r="V104" s="36">
        <f t="shared" si="27"/>
        <v>2152500</v>
      </c>
      <c r="W104" s="36">
        <f t="shared" si="27"/>
        <v>3587500</v>
      </c>
      <c r="X104" s="36">
        <f t="shared" si="27"/>
        <v>5740000</v>
      </c>
      <c r="Y104" s="36">
        <f t="shared" si="27"/>
        <v>8610000</v>
      </c>
      <c r="Z104" s="36">
        <f t="shared" si="27"/>
        <v>11480000</v>
      </c>
      <c r="AA104" s="36">
        <f t="shared" si="27"/>
        <v>14185000</v>
      </c>
      <c r="AB104" s="36">
        <f t="shared" si="27"/>
        <v>18440500</v>
      </c>
      <c r="AC104" s="36">
        <f t="shared" si="27"/>
        <v>22520000</v>
      </c>
      <c r="AD104" s="36">
        <f t="shared" si="27"/>
        <v>28150000</v>
      </c>
      <c r="AE104" s="36"/>
      <c r="AF104" s="36"/>
    </row>
    <row r="105" spans="2:32">
      <c r="S105" s="95" t="s">
        <v>88</v>
      </c>
      <c r="T105" s="95"/>
      <c r="U105" s="36">
        <f t="shared" ref="U105:AD105" si="28">U86+U93+U99</f>
        <v>0</v>
      </c>
      <c r="V105" s="36">
        <f t="shared" si="28"/>
        <v>0</v>
      </c>
      <c r="W105" s="36">
        <f t="shared" si="28"/>
        <v>0</v>
      </c>
      <c r="X105" s="36">
        <f t="shared" si="28"/>
        <v>0</v>
      </c>
      <c r="Y105" s="36">
        <f t="shared" si="28"/>
        <v>0</v>
      </c>
      <c r="Z105" s="36">
        <f t="shared" si="28"/>
        <v>0</v>
      </c>
      <c r="AA105" s="36">
        <f t="shared" si="28"/>
        <v>0</v>
      </c>
      <c r="AB105" s="36">
        <f t="shared" si="28"/>
        <v>0</v>
      </c>
      <c r="AC105" s="36">
        <f t="shared" si="28"/>
        <v>0</v>
      </c>
      <c r="AD105" s="36">
        <f t="shared" si="28"/>
        <v>0</v>
      </c>
      <c r="AE105" s="36"/>
      <c r="AF105" s="36"/>
    </row>
    <row r="106" spans="2:32">
      <c r="S106" s="95" t="s">
        <v>87</v>
      </c>
      <c r="T106" s="95"/>
      <c r="U106" s="36">
        <f t="shared" ref="U106:AD106" si="29">U87+U94+U100</f>
        <v>0</v>
      </c>
      <c r="V106" s="36">
        <f t="shared" si="29"/>
        <v>0</v>
      </c>
      <c r="W106" s="36">
        <f t="shared" si="29"/>
        <v>0</v>
      </c>
      <c r="X106" s="36">
        <f t="shared" si="29"/>
        <v>0</v>
      </c>
      <c r="Y106" s="36">
        <f t="shared" si="29"/>
        <v>0</v>
      </c>
      <c r="Z106" s="36">
        <f t="shared" si="29"/>
        <v>0</v>
      </c>
      <c r="AA106" s="36">
        <f t="shared" si="29"/>
        <v>0</v>
      </c>
      <c r="AB106" s="36">
        <f t="shared" si="29"/>
        <v>0</v>
      </c>
      <c r="AC106" s="36">
        <f t="shared" si="29"/>
        <v>0</v>
      </c>
      <c r="AD106" s="36">
        <f t="shared" si="29"/>
        <v>0</v>
      </c>
      <c r="AE106" s="36"/>
      <c r="AF106" s="36"/>
    </row>
    <row r="107" spans="2:32">
      <c r="S107" s="95" t="s">
        <v>41</v>
      </c>
      <c r="T107" s="95"/>
      <c r="U107" s="36">
        <f t="shared" ref="U107:AC107" si="30">U88</f>
        <v>100000</v>
      </c>
      <c r="V107" s="36">
        <f t="shared" si="30"/>
        <v>150000</v>
      </c>
      <c r="W107" s="36">
        <f t="shared" si="30"/>
        <v>250000</v>
      </c>
      <c r="X107" s="36">
        <f t="shared" si="30"/>
        <v>400000</v>
      </c>
      <c r="Y107" s="36">
        <f t="shared" si="30"/>
        <v>600000</v>
      </c>
      <c r="Z107" s="36">
        <f t="shared" si="30"/>
        <v>800000</v>
      </c>
      <c r="AA107" s="36">
        <f t="shared" si="30"/>
        <v>1000000</v>
      </c>
      <c r="AB107" s="36">
        <f t="shared" si="30"/>
        <v>1300000</v>
      </c>
      <c r="AC107" s="36">
        <f t="shared" si="30"/>
        <v>1600000</v>
      </c>
      <c r="AD107" s="36">
        <f>AD88</f>
        <v>2000000</v>
      </c>
      <c r="AE107" s="36"/>
      <c r="AF107" s="36"/>
    </row>
    <row r="108" spans="2:32">
      <c r="S108" s="95" t="s">
        <v>202</v>
      </c>
      <c r="T108" s="95"/>
      <c r="U108" s="65">
        <f>600000</f>
        <v>600000</v>
      </c>
      <c r="V108" s="65">
        <f t="shared" ref="V108:AD108" si="31">600000</f>
        <v>600000</v>
      </c>
      <c r="W108" s="65">
        <f t="shared" si="31"/>
        <v>600000</v>
      </c>
      <c r="X108" s="65">
        <f t="shared" si="31"/>
        <v>600000</v>
      </c>
      <c r="Y108" s="65">
        <f t="shared" si="31"/>
        <v>600000</v>
      </c>
      <c r="Z108" s="65">
        <f t="shared" si="31"/>
        <v>600000</v>
      </c>
      <c r="AA108" s="65">
        <f t="shared" si="31"/>
        <v>600000</v>
      </c>
      <c r="AB108" s="65">
        <f t="shared" si="31"/>
        <v>600000</v>
      </c>
      <c r="AC108" s="65">
        <f t="shared" si="31"/>
        <v>600000</v>
      </c>
      <c r="AD108" s="65">
        <f t="shared" si="31"/>
        <v>600000</v>
      </c>
      <c r="AE108" s="36"/>
      <c r="AF108" s="36"/>
    </row>
    <row r="109" spans="2:32">
      <c r="S109" s="96" t="s">
        <v>97</v>
      </c>
      <c r="T109" s="96"/>
      <c r="U109" s="97">
        <f>SUM(U104:U108)</f>
        <v>2135000</v>
      </c>
      <c r="V109" s="97">
        <f t="shared" ref="V109:AC109" si="32">SUM(V104:V108)</f>
        <v>2902500</v>
      </c>
      <c r="W109" s="97">
        <f t="shared" si="32"/>
        <v>4437500</v>
      </c>
      <c r="X109" s="97">
        <f t="shared" si="32"/>
        <v>6740000</v>
      </c>
      <c r="Y109" s="97">
        <f t="shared" si="32"/>
        <v>9810000</v>
      </c>
      <c r="Z109" s="97">
        <f t="shared" si="32"/>
        <v>12880000</v>
      </c>
      <c r="AA109" s="97">
        <f t="shared" si="32"/>
        <v>15785000</v>
      </c>
      <c r="AB109" s="97">
        <f t="shared" si="32"/>
        <v>20340500</v>
      </c>
      <c r="AC109" s="97">
        <f t="shared" si="32"/>
        <v>24720000</v>
      </c>
      <c r="AD109" s="97">
        <f>SUM(AD104:AD108)</f>
        <v>30750000</v>
      </c>
      <c r="AE109" s="97"/>
      <c r="AF109" s="97"/>
    </row>
    <row r="111" spans="2:32">
      <c r="S111" s="3" t="s">
        <v>25</v>
      </c>
      <c r="T111" s="3"/>
    </row>
    <row r="112" spans="2:32">
      <c r="S112" s="95" t="s">
        <v>115</v>
      </c>
      <c r="T112" s="95"/>
      <c r="U112" s="33">
        <f t="shared" ref="U112:AD112" si="33">-U104*$D$35</f>
        <v>-287000</v>
      </c>
      <c r="V112" s="33">
        <f t="shared" si="33"/>
        <v>-430500</v>
      </c>
      <c r="W112" s="33">
        <f t="shared" si="33"/>
        <v>-717500</v>
      </c>
      <c r="X112" s="33">
        <f t="shared" si="33"/>
        <v>-1148000</v>
      </c>
      <c r="Y112" s="33">
        <f t="shared" si="33"/>
        <v>-1722000</v>
      </c>
      <c r="Z112" s="33">
        <f t="shared" si="33"/>
        <v>-2296000</v>
      </c>
      <c r="AA112" s="33">
        <f t="shared" si="33"/>
        <v>-2837000</v>
      </c>
      <c r="AB112" s="33">
        <f t="shared" si="33"/>
        <v>-3688100</v>
      </c>
      <c r="AC112" s="33">
        <f t="shared" si="33"/>
        <v>-4504000</v>
      </c>
      <c r="AD112" s="33">
        <f t="shared" si="33"/>
        <v>-5630000</v>
      </c>
    </row>
    <row r="113" spans="19:32">
      <c r="S113" s="95" t="s">
        <v>88</v>
      </c>
      <c r="T113" s="95"/>
      <c r="U113" s="33">
        <f t="shared" ref="U113:AD113" si="34">-U105*$F$35</f>
        <v>0</v>
      </c>
      <c r="V113" s="33">
        <f t="shared" si="34"/>
        <v>0</v>
      </c>
      <c r="W113" s="33">
        <f t="shared" si="34"/>
        <v>0</v>
      </c>
      <c r="X113" s="33">
        <f t="shared" si="34"/>
        <v>0</v>
      </c>
      <c r="Y113" s="33">
        <f t="shared" si="34"/>
        <v>0</v>
      </c>
      <c r="Z113" s="33">
        <f t="shared" si="34"/>
        <v>0</v>
      </c>
      <c r="AA113" s="33">
        <f t="shared" si="34"/>
        <v>0</v>
      </c>
      <c r="AB113" s="33">
        <f t="shared" si="34"/>
        <v>0</v>
      </c>
      <c r="AC113" s="33">
        <f t="shared" si="34"/>
        <v>0</v>
      </c>
      <c r="AD113" s="33">
        <f t="shared" si="34"/>
        <v>0</v>
      </c>
    </row>
    <row r="114" spans="19:32">
      <c r="S114" s="95" t="s">
        <v>87</v>
      </c>
      <c r="T114" s="95"/>
      <c r="U114" s="33">
        <f t="shared" ref="U114:AD114" si="35">-U70*$H$35</f>
        <v>0</v>
      </c>
      <c r="V114" s="33">
        <f t="shared" si="35"/>
        <v>0</v>
      </c>
      <c r="W114" s="33">
        <f t="shared" si="35"/>
        <v>0</v>
      </c>
      <c r="X114" s="33">
        <f t="shared" si="35"/>
        <v>0</v>
      </c>
      <c r="Y114" s="33">
        <f t="shared" si="35"/>
        <v>0</v>
      </c>
      <c r="Z114" s="33">
        <f t="shared" si="35"/>
        <v>0</v>
      </c>
      <c r="AA114" s="33">
        <f t="shared" si="35"/>
        <v>0</v>
      </c>
      <c r="AB114" s="33">
        <f t="shared" si="35"/>
        <v>0</v>
      </c>
      <c r="AC114" s="33">
        <f t="shared" si="35"/>
        <v>0</v>
      </c>
      <c r="AD114" s="33">
        <f t="shared" si="35"/>
        <v>0</v>
      </c>
    </row>
    <row r="115" spans="19:32">
      <c r="S115" s="95" t="s">
        <v>105</v>
      </c>
      <c r="T115" s="95"/>
      <c r="U115" s="153">
        <f>$L$36</f>
        <v>-40000000</v>
      </c>
      <c r="V115" s="33">
        <f t="shared" ref="V115:AD115" si="36">$L$36</f>
        <v>-40000000</v>
      </c>
      <c r="W115" s="33">
        <f t="shared" si="36"/>
        <v>-40000000</v>
      </c>
      <c r="X115" s="33">
        <f t="shared" si="36"/>
        <v>-40000000</v>
      </c>
      <c r="Y115" s="33">
        <f t="shared" si="36"/>
        <v>-40000000</v>
      </c>
      <c r="Z115" s="33">
        <f t="shared" si="36"/>
        <v>-40000000</v>
      </c>
      <c r="AA115" s="33">
        <f t="shared" si="36"/>
        <v>-40000000</v>
      </c>
      <c r="AB115" s="33">
        <f t="shared" si="36"/>
        <v>-40000000</v>
      </c>
      <c r="AC115" s="33">
        <f t="shared" si="36"/>
        <v>-40000000</v>
      </c>
      <c r="AD115" s="33">
        <f t="shared" si="36"/>
        <v>-40000000</v>
      </c>
    </row>
    <row r="116" spans="19:32">
      <c r="S116" s="95" t="s">
        <v>41</v>
      </c>
      <c r="T116" s="95"/>
      <c r="U116" s="153">
        <f>$P$40</f>
        <v>-10000000</v>
      </c>
      <c r="V116" s="33">
        <f t="shared" ref="V116:AD116" si="37">$P$40</f>
        <v>-10000000</v>
      </c>
      <c r="W116" s="33">
        <f t="shared" si="37"/>
        <v>-10000000</v>
      </c>
      <c r="X116" s="33">
        <f t="shared" si="37"/>
        <v>-10000000</v>
      </c>
      <c r="Y116" s="33">
        <f t="shared" si="37"/>
        <v>-10000000</v>
      </c>
      <c r="Z116" s="33">
        <f t="shared" si="37"/>
        <v>-10000000</v>
      </c>
      <c r="AA116" s="33">
        <f t="shared" si="37"/>
        <v>-10000000</v>
      </c>
      <c r="AB116" s="33">
        <f t="shared" si="37"/>
        <v>-10000000</v>
      </c>
      <c r="AC116" s="33">
        <f t="shared" si="37"/>
        <v>-10000000</v>
      </c>
      <c r="AD116" s="33">
        <f t="shared" si="37"/>
        <v>-10000000</v>
      </c>
    </row>
    <row r="117" spans="19:32">
      <c r="S117" s="95" t="s">
        <v>98</v>
      </c>
      <c r="T117" s="154">
        <f>-T36+-T46</f>
        <v>-95000000</v>
      </c>
      <c r="U117" s="33">
        <v>0</v>
      </c>
      <c r="V117" s="33">
        <v>0</v>
      </c>
      <c r="W117" s="33">
        <v>0</v>
      </c>
      <c r="X117" s="33">
        <v>0</v>
      </c>
      <c r="Y117" s="33">
        <v>0</v>
      </c>
      <c r="Z117" s="33">
        <v>0</v>
      </c>
      <c r="AA117" s="33">
        <v>0</v>
      </c>
      <c r="AB117" s="33">
        <v>0</v>
      </c>
      <c r="AC117" s="33">
        <v>0</v>
      </c>
      <c r="AD117" s="33">
        <v>0</v>
      </c>
    </row>
    <row r="118" spans="19:32">
      <c r="S118" s="96" t="s">
        <v>100</v>
      </c>
      <c r="T118" s="98">
        <f>SUM(T112:T117)</f>
        <v>-95000000</v>
      </c>
      <c r="U118" s="98">
        <f>SUM(U112:U117)</f>
        <v>-50287000</v>
      </c>
      <c r="V118" s="98">
        <f t="shared" ref="V118:AD118" si="38">SUM(V112:V117)</f>
        <v>-50430500</v>
      </c>
      <c r="W118" s="98">
        <f t="shared" si="38"/>
        <v>-50717500</v>
      </c>
      <c r="X118" s="98">
        <f t="shared" si="38"/>
        <v>-51148000</v>
      </c>
      <c r="Y118" s="98">
        <f t="shared" si="38"/>
        <v>-51722000</v>
      </c>
      <c r="Z118" s="98">
        <f t="shared" si="38"/>
        <v>-52296000</v>
      </c>
      <c r="AA118" s="98">
        <f t="shared" si="38"/>
        <v>-52837000</v>
      </c>
      <c r="AB118" s="98">
        <f t="shared" si="38"/>
        <v>-53688100</v>
      </c>
      <c r="AC118" s="98">
        <f t="shared" si="38"/>
        <v>-54504000</v>
      </c>
      <c r="AD118" s="98">
        <f t="shared" si="38"/>
        <v>-55630000</v>
      </c>
      <c r="AE118" s="97"/>
      <c r="AF118" s="97"/>
    </row>
    <row r="120" spans="19:32">
      <c r="S120" s="99" t="s">
        <v>29</v>
      </c>
      <c r="T120" s="100">
        <f>T109+T118</f>
        <v>-95000000</v>
      </c>
      <c r="U120" s="100">
        <f>U109+U118</f>
        <v>-48152000</v>
      </c>
      <c r="V120" s="100">
        <f t="shared" ref="V120:AD120" si="39">V109+V118</f>
        <v>-47528000</v>
      </c>
      <c r="W120" s="100">
        <f t="shared" si="39"/>
        <v>-46280000</v>
      </c>
      <c r="X120" s="100">
        <f t="shared" si="39"/>
        <v>-44408000</v>
      </c>
      <c r="Y120" s="100">
        <f t="shared" si="39"/>
        <v>-41912000</v>
      </c>
      <c r="Z120" s="100">
        <f t="shared" si="39"/>
        <v>-39416000</v>
      </c>
      <c r="AA120" s="100">
        <f t="shared" si="39"/>
        <v>-37052000</v>
      </c>
      <c r="AB120" s="100">
        <f t="shared" si="39"/>
        <v>-33347600</v>
      </c>
      <c r="AC120" s="100">
        <f t="shared" si="39"/>
        <v>-29784000</v>
      </c>
      <c r="AD120" s="100">
        <f t="shared" si="39"/>
        <v>-24880000</v>
      </c>
      <c r="AF120" s="47">
        <f>SUM(T120:AD120)</f>
        <v>-487759600</v>
      </c>
    </row>
  </sheetData>
  <pageMargins left="0.25" right="0.25" top="0.75" bottom="0.75" header="0.3" footer="0.3"/>
  <pageSetup scale="52" orientation="landscape" horizontalDpi="4294967292" verticalDpi="4294967292" r:id="rId1"/>
  <rowBreaks count="1" manualBreakCount="1">
    <brk id="58" max="31" man="1"/>
  </rowBreaks>
  <colBreaks count="1" manualBreakCount="1">
    <brk id="17" max="111" man="1"/>
  </colBreaks>
  <ignoredErrors>
    <ignoredError sqref="P8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4F956-C710-5D47-96ED-B10A9C19BDB1}">
  <sheetPr>
    <tabColor rgb="FF7030A0"/>
  </sheetPr>
  <dimension ref="A1:AK120"/>
  <sheetViews>
    <sheetView showGridLines="0" topLeftCell="A48" zoomScale="85" zoomScaleNormal="85" zoomScaleSheetLayoutView="82" zoomScalePageLayoutView="96" workbookViewId="0">
      <selection activeCell="T33" sqref="T33"/>
    </sheetView>
  </sheetViews>
  <sheetFormatPr defaultColWidth="10.625" defaultRowHeight="15.75" outlineLevelRow="1" outlineLevelCol="1"/>
  <cols>
    <col min="1" max="1" width="3.375" customWidth="1"/>
    <col min="2" max="2" width="36.5" customWidth="1"/>
    <col min="3" max="3" width="3.125" customWidth="1"/>
    <col min="4" max="4" width="14.625" customWidth="1"/>
    <col min="5" max="5" width="2.625" customWidth="1"/>
    <col min="6" max="6" width="14.625" hidden="1" customWidth="1" outlineLevel="1"/>
    <col min="7" max="7" width="2.625" hidden="1" customWidth="1" outlineLevel="1"/>
    <col min="8" max="8" width="12.875" hidden="1" customWidth="1" outlineLevel="1"/>
    <col min="9" max="9" width="2.625" hidden="1" customWidth="1" outlineLevel="1"/>
    <col min="10" max="10" width="12.875" hidden="1" customWidth="1" outlineLevel="1"/>
    <col min="11" max="11" width="2.625" hidden="1" customWidth="1" outlineLevel="1"/>
    <col min="12" max="12" width="15" customWidth="1" collapsed="1"/>
    <col min="13" max="13" width="2.375" customWidth="1"/>
    <col min="14" max="14" width="13.875" customWidth="1"/>
    <col min="15" max="15" width="2.875" customWidth="1"/>
    <col min="16" max="16" width="15.375" customWidth="1"/>
    <col min="17" max="18" width="2.875" customWidth="1"/>
    <col min="19" max="19" width="30.625" customWidth="1"/>
    <col min="20" max="20" width="16.5" customWidth="1"/>
    <col min="21" max="21" width="15.375" customWidth="1"/>
    <col min="22" max="22" width="13.125" customWidth="1"/>
    <col min="23" max="23" width="13.5" customWidth="1"/>
    <col min="24" max="24" width="13.875" customWidth="1"/>
    <col min="25" max="25" width="13.5" customWidth="1"/>
    <col min="26" max="26" width="14.875" customWidth="1"/>
    <col min="27" max="27" width="13.375" customWidth="1"/>
    <col min="28" max="29" width="13.625" customWidth="1"/>
    <col min="30" max="30" width="16.375" customWidth="1"/>
    <col min="31" max="31" width="5.375" customWidth="1"/>
    <col min="32" max="32" width="13.625" customWidth="1"/>
    <col min="33" max="33" width="2.625" customWidth="1"/>
    <col min="34" max="34" width="15" customWidth="1"/>
  </cols>
  <sheetData>
    <row r="1" spans="1:23" s="69" customFormat="1" ht="18.75">
      <c r="A1" s="278" t="s">
        <v>257</v>
      </c>
    </row>
    <row r="3" spans="1:23">
      <c r="B3" s="4" t="s">
        <v>209</v>
      </c>
      <c r="S3" s="4" t="s">
        <v>152</v>
      </c>
      <c r="T3" s="4"/>
    </row>
    <row r="4" spans="1:23" s="7" customFormat="1" ht="31.5">
      <c r="D4" s="11" t="s">
        <v>109</v>
      </c>
      <c r="F4" s="11"/>
      <c r="H4" s="11"/>
      <c r="J4" s="11"/>
      <c r="L4" s="11" t="s">
        <v>105</v>
      </c>
      <c r="N4" s="11" t="s">
        <v>104</v>
      </c>
      <c r="P4" s="12" t="s">
        <v>100</v>
      </c>
    </row>
    <row r="5" spans="1:23"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P5" s="13"/>
      <c r="S5" t="s">
        <v>28</v>
      </c>
      <c r="T5" s="10">
        <f>P6</f>
        <v>1015228426.3959391</v>
      </c>
    </row>
    <row r="6" spans="1:23">
      <c r="B6" t="s">
        <v>28</v>
      </c>
      <c r="D6" s="255">
        <f>D11/(1-D8)</f>
        <v>1015228426.3959391</v>
      </c>
      <c r="E6" s="195"/>
      <c r="F6" s="255"/>
      <c r="G6" s="195"/>
      <c r="H6" s="255"/>
      <c r="I6" s="195"/>
      <c r="J6" s="195"/>
      <c r="K6" s="195"/>
      <c r="L6" s="195"/>
      <c r="M6" s="244"/>
      <c r="N6" s="244"/>
      <c r="P6" s="16">
        <f>D6+J6+L6+N6+F6+H6</f>
        <v>1015228426.3959391</v>
      </c>
      <c r="S6" s="5" t="s">
        <v>68</v>
      </c>
      <c r="T6" s="82">
        <f>P7</f>
        <v>-15228426.395939086</v>
      </c>
      <c r="U6" s="21">
        <f>T6/T5</f>
        <v>-1.4999999999999999E-2</v>
      </c>
      <c r="V6" t="s">
        <v>71</v>
      </c>
    </row>
    <row r="7" spans="1:23">
      <c r="B7" t="s">
        <v>66</v>
      </c>
      <c r="D7" s="255">
        <f>-D6*D8</f>
        <v>-15228426.395939086</v>
      </c>
      <c r="E7" s="195"/>
      <c r="F7" s="255"/>
      <c r="G7" s="195"/>
      <c r="H7" s="255"/>
      <c r="I7" s="195"/>
      <c r="J7" s="195"/>
      <c r="K7" s="195"/>
      <c r="L7" s="195"/>
      <c r="M7" s="244"/>
      <c r="N7" s="244"/>
      <c r="P7" s="16">
        <f>D7+J7+L7+N7+F7+H7</f>
        <v>-15228426.395939086</v>
      </c>
      <c r="S7" s="10" t="s">
        <v>20</v>
      </c>
      <c r="T7" s="10">
        <f>T5+T6</f>
        <v>1000000000</v>
      </c>
      <c r="U7" s="9"/>
    </row>
    <row r="8" spans="1:23">
      <c r="B8" t="s">
        <v>67</v>
      </c>
      <c r="D8" s="248">
        <f>1.5%</f>
        <v>1.4999999999999999E-2</v>
      </c>
      <c r="E8" s="245"/>
      <c r="F8" s="248"/>
      <c r="G8" s="245"/>
      <c r="H8" s="249"/>
      <c r="I8" s="195"/>
      <c r="J8" s="195"/>
      <c r="K8" s="195"/>
      <c r="L8" s="195"/>
      <c r="M8" s="244"/>
      <c r="N8" s="244"/>
      <c r="P8" s="224">
        <f>-P7/P6</f>
        <v>1.4999999999999999E-2</v>
      </c>
      <c r="U8" s="9"/>
    </row>
    <row r="9" spans="1:23">
      <c r="B9" s="191" t="s">
        <v>20</v>
      </c>
      <c r="C9" t="s">
        <v>4</v>
      </c>
      <c r="D9" s="242">
        <f>D6+D7</f>
        <v>1000000000</v>
      </c>
      <c r="E9" s="195"/>
      <c r="F9" s="242"/>
      <c r="G9" s="195"/>
      <c r="H9" s="242"/>
      <c r="I9" s="195"/>
      <c r="J9" s="195"/>
      <c r="K9" s="195"/>
      <c r="L9" s="195"/>
      <c r="M9" s="244"/>
      <c r="N9" s="244"/>
      <c r="P9" s="14">
        <f>D9+J9+L9+N9+F9+H9</f>
        <v>1000000000</v>
      </c>
      <c r="S9" t="s">
        <v>70</v>
      </c>
      <c r="T9" s="10">
        <f>U9*T7</f>
        <v>100000000</v>
      </c>
      <c r="U9" s="9">
        <v>0.1</v>
      </c>
      <c r="V9" t="s">
        <v>72</v>
      </c>
      <c r="W9" t="s">
        <v>103</v>
      </c>
    </row>
    <row r="10" spans="1:23">
      <c r="D10" s="33"/>
      <c r="E10" s="244"/>
      <c r="F10" s="33"/>
      <c r="G10" s="244"/>
      <c r="H10" s="33"/>
      <c r="I10" s="244"/>
      <c r="J10" s="244"/>
      <c r="K10" s="244"/>
      <c r="L10" s="244"/>
      <c r="M10" s="244"/>
      <c r="N10" s="244"/>
      <c r="P10" s="13"/>
    </row>
    <row r="11" spans="1:23">
      <c r="B11" s="23" t="s">
        <v>20</v>
      </c>
      <c r="C11" s="23"/>
      <c r="D11" s="196">
        <v>1000000000</v>
      </c>
      <c r="E11" s="196"/>
      <c r="F11" s="196"/>
      <c r="G11" s="196"/>
      <c r="H11" s="196"/>
      <c r="I11" s="196"/>
      <c r="J11" s="196"/>
      <c r="K11" s="196"/>
      <c r="L11" s="196"/>
      <c r="M11" s="43"/>
      <c r="N11" s="43"/>
      <c r="O11" s="23"/>
      <c r="P11" s="28">
        <f>D11+J11+L11+N11+F11+H11</f>
        <v>1000000000</v>
      </c>
      <c r="S11" s="79" t="s">
        <v>21</v>
      </c>
      <c r="T11" s="83">
        <f>T7+T9</f>
        <v>1100000000</v>
      </c>
    </row>
    <row r="12" spans="1:23">
      <c r="B12" s="23" t="s">
        <v>18</v>
      </c>
      <c r="C12" s="23"/>
      <c r="D12" s="196">
        <v>5000000</v>
      </c>
      <c r="E12" s="196"/>
      <c r="F12" s="196"/>
      <c r="G12" s="196"/>
      <c r="H12" s="196"/>
      <c r="I12" s="196"/>
      <c r="J12" s="196"/>
      <c r="K12" s="196"/>
      <c r="L12" s="196"/>
      <c r="M12" s="43"/>
      <c r="N12" s="43"/>
      <c r="O12" s="23"/>
      <c r="P12" s="28"/>
    </row>
    <row r="13" spans="1:23">
      <c r="B13" s="23" t="s">
        <v>19</v>
      </c>
      <c r="C13" s="23"/>
      <c r="D13" s="29">
        <f>INT(D11/D12)</f>
        <v>200</v>
      </c>
      <c r="E13" s="196"/>
      <c r="F13" s="29"/>
      <c r="G13" s="196"/>
      <c r="H13" s="29"/>
      <c r="I13" s="196"/>
      <c r="J13" s="29"/>
      <c r="K13" s="196"/>
      <c r="L13" s="29"/>
      <c r="M13" s="43"/>
      <c r="N13" s="43"/>
      <c r="O13" s="23"/>
      <c r="P13" s="28"/>
      <c r="S13" t="s">
        <v>69</v>
      </c>
      <c r="T13" s="10">
        <f>T11-T14</f>
        <v>935000000</v>
      </c>
    </row>
    <row r="14" spans="1:23">
      <c r="B14" s="23"/>
      <c r="C14" s="2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23"/>
      <c r="P14" s="104"/>
      <c r="S14" t="s">
        <v>6</v>
      </c>
      <c r="T14" s="10">
        <f>T11*U14</f>
        <v>165000000</v>
      </c>
      <c r="U14" s="8">
        <v>0.15</v>
      </c>
      <c r="V14" t="s">
        <v>73</v>
      </c>
    </row>
    <row r="15" spans="1:23">
      <c r="B15" s="23" t="s">
        <v>104</v>
      </c>
      <c r="C15" s="2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219">
        <f>T9</f>
        <v>100000000</v>
      </c>
      <c r="O15" s="23"/>
      <c r="P15" s="28">
        <f>D15+J15+L15+N15+F15+H15</f>
        <v>100000000</v>
      </c>
      <c r="S15" s="79" t="s">
        <v>22</v>
      </c>
      <c r="T15" s="83">
        <f>T13+T14</f>
        <v>1100000000</v>
      </c>
    </row>
    <row r="16" spans="1:23">
      <c r="B16" s="23" t="s">
        <v>113</v>
      </c>
      <c r="C16" s="23"/>
      <c r="D16" s="43"/>
      <c r="E16" s="43"/>
      <c r="F16" s="43"/>
      <c r="G16" s="43"/>
      <c r="H16" s="43"/>
      <c r="I16" s="43"/>
      <c r="J16" s="43"/>
      <c r="K16" s="43"/>
      <c r="L16" s="219">
        <v>10000000000</v>
      </c>
      <c r="M16" s="43"/>
      <c r="N16" s="43"/>
      <c r="O16" s="23"/>
      <c r="P16" s="28">
        <f>D16+J16+L16+N16+F16+H16</f>
        <v>10000000000</v>
      </c>
    </row>
    <row r="17" spans="2:35"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P17" s="13"/>
      <c r="S17" t="s">
        <v>74</v>
      </c>
      <c r="T17" s="22">
        <f>T13/T5</f>
        <v>0.92097499999999999</v>
      </c>
    </row>
    <row r="18" spans="2:35">
      <c r="B18" t="s">
        <v>10</v>
      </c>
      <c r="D18" s="174">
        <f>T23</f>
        <v>0.04</v>
      </c>
      <c r="E18" s="254"/>
      <c r="F18" s="254"/>
      <c r="G18" s="254"/>
      <c r="H18" s="254"/>
      <c r="I18" s="254"/>
      <c r="J18" s="254"/>
      <c r="K18" s="254"/>
      <c r="L18" s="254"/>
      <c r="M18" s="195"/>
      <c r="N18" s="174">
        <f>T21</f>
        <v>0.02</v>
      </c>
      <c r="P18" s="224">
        <f>P19/P$11</f>
        <v>4.2000000000000003E-2</v>
      </c>
    </row>
    <row r="19" spans="2:35">
      <c r="B19" t="s">
        <v>23</v>
      </c>
      <c r="D19" s="213">
        <f>D$11*D18</f>
        <v>40000000</v>
      </c>
      <c r="E19" s="213"/>
      <c r="F19" s="213"/>
      <c r="G19" s="213"/>
      <c r="H19" s="213"/>
      <c r="I19" s="213"/>
      <c r="J19" s="213"/>
      <c r="K19" s="213"/>
      <c r="L19" s="213"/>
      <c r="M19" s="195"/>
      <c r="N19" s="255">
        <f>N15*N18</f>
        <v>2000000</v>
      </c>
      <c r="P19" s="14">
        <f>D19+J19+L19+N19+F19+H19</f>
        <v>42000000</v>
      </c>
      <c r="S19" s="4" t="s">
        <v>75</v>
      </c>
    </row>
    <row r="20" spans="2:35"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P20" s="13"/>
      <c r="S20" t="s">
        <v>76</v>
      </c>
      <c r="T20" s="84">
        <v>0.01</v>
      </c>
      <c r="V20" t="s">
        <v>84</v>
      </c>
    </row>
    <row r="21" spans="2:35">
      <c r="B21" t="s">
        <v>11</v>
      </c>
      <c r="D21" s="174">
        <f>T20</f>
        <v>0.01</v>
      </c>
      <c r="E21" s="195"/>
      <c r="F21" s="213"/>
      <c r="G21" s="213"/>
      <c r="H21" s="213"/>
      <c r="I21" s="195"/>
      <c r="J21" s="254"/>
      <c r="K21" s="195"/>
      <c r="L21" s="254"/>
      <c r="M21" s="195"/>
      <c r="N21" s="195"/>
      <c r="P21" s="224">
        <f>-P23/P$11</f>
        <v>9.3500000000000007E-3</v>
      </c>
      <c r="S21" t="s">
        <v>77</v>
      </c>
      <c r="T21" s="84">
        <v>0.02</v>
      </c>
      <c r="V21" t="s">
        <v>108</v>
      </c>
    </row>
    <row r="22" spans="2:35">
      <c r="B22" t="s">
        <v>74</v>
      </c>
      <c r="D22" s="254">
        <f>T17</f>
        <v>0.92097499999999999</v>
      </c>
      <c r="E22" s="195"/>
      <c r="F22" s="195"/>
      <c r="G22" s="195"/>
      <c r="H22" s="195"/>
      <c r="I22" s="195"/>
      <c r="J22" s="254"/>
      <c r="K22" s="195"/>
      <c r="L22" s="254"/>
      <c r="M22" s="195"/>
      <c r="N22" s="195"/>
      <c r="P22" s="20"/>
      <c r="T22" s="84">
        <v>0.04</v>
      </c>
    </row>
    <row r="23" spans="2:35">
      <c r="B23" t="s">
        <v>12</v>
      </c>
      <c r="D23" s="255">
        <f>-D6*D21*D22</f>
        <v>-9350000</v>
      </c>
      <c r="E23" s="213"/>
      <c r="F23" s="213"/>
      <c r="G23" s="213"/>
      <c r="H23" s="213"/>
      <c r="I23" s="213"/>
      <c r="J23" s="255"/>
      <c r="K23" s="213"/>
      <c r="L23" s="255"/>
      <c r="M23" s="195"/>
      <c r="N23" s="195"/>
      <c r="P23" s="16">
        <f>D23+J23+L23+N23+F23+H23</f>
        <v>-9350000</v>
      </c>
      <c r="S23" t="s">
        <v>109</v>
      </c>
      <c r="T23" s="84">
        <v>0.04</v>
      </c>
      <c r="V23" t="s">
        <v>111</v>
      </c>
    </row>
    <row r="24" spans="2:35">
      <c r="D24" s="195"/>
      <c r="E24" s="195"/>
      <c r="F24" s="195"/>
      <c r="G24" s="195"/>
      <c r="H24" s="195"/>
      <c r="I24" s="195"/>
      <c r="J24" s="255"/>
      <c r="K24" s="195"/>
      <c r="L24" s="195"/>
      <c r="M24" s="195"/>
      <c r="N24" s="195"/>
      <c r="P24" s="15"/>
    </row>
    <row r="25" spans="2:35">
      <c r="B25" t="s">
        <v>13</v>
      </c>
      <c r="D25" s="296">
        <f>'Model-2-Low'!D25*2</f>
        <v>5.0000000000000001E-3</v>
      </c>
      <c r="E25" s="254"/>
      <c r="F25" s="254"/>
      <c r="G25" s="254"/>
      <c r="H25" s="195"/>
      <c r="I25" s="254"/>
      <c r="J25" s="255"/>
      <c r="K25" s="254"/>
      <c r="L25" s="254"/>
      <c r="M25" s="195"/>
      <c r="N25" s="195"/>
      <c r="P25" s="224">
        <f>-P26/P$11</f>
        <v>5.0000000000000001E-3</v>
      </c>
      <c r="S25" t="s">
        <v>78</v>
      </c>
      <c r="Z25" s="25"/>
      <c r="AA25" s="25"/>
      <c r="AB25" s="25"/>
      <c r="AC25" s="25"/>
      <c r="AD25" s="25"/>
      <c r="AE25" s="25"/>
      <c r="AF25" s="25"/>
      <c r="AG25" s="25"/>
      <c r="AH25" s="25"/>
      <c r="AI25" s="25"/>
    </row>
    <row r="26" spans="2:35">
      <c r="B26" t="s">
        <v>15</v>
      </c>
      <c r="D26" s="255">
        <f>-D$11*D25</f>
        <v>-5000000</v>
      </c>
      <c r="E26" s="213"/>
      <c r="F26" s="255"/>
      <c r="G26" s="213"/>
      <c r="H26" s="195"/>
      <c r="I26" s="213"/>
      <c r="J26" s="255"/>
      <c r="K26" s="213"/>
      <c r="L26" s="255"/>
      <c r="M26" s="195"/>
      <c r="N26" s="195"/>
      <c r="P26" s="16">
        <f>D26+J26+L26+N26+F26+H26</f>
        <v>-5000000</v>
      </c>
      <c r="S26" t="s">
        <v>79</v>
      </c>
      <c r="T26" s="101" t="s">
        <v>64</v>
      </c>
      <c r="Z26" s="25"/>
      <c r="AA26" s="25"/>
      <c r="AB26" s="25"/>
      <c r="AC26" s="25"/>
      <c r="AD26" s="25"/>
      <c r="AE26" s="25"/>
      <c r="AF26" s="25"/>
      <c r="AG26" s="25"/>
      <c r="AH26" s="25"/>
      <c r="AI26" s="25"/>
    </row>
    <row r="27" spans="2:35">
      <c r="D27" s="244"/>
      <c r="E27" s="244"/>
      <c r="F27" s="244"/>
      <c r="G27" s="244"/>
      <c r="H27" s="244"/>
      <c r="I27" s="244"/>
      <c r="J27" s="246"/>
      <c r="K27" s="244"/>
      <c r="L27" s="244"/>
      <c r="M27" s="244"/>
      <c r="N27" s="244"/>
      <c r="P27" s="13"/>
      <c r="S27" t="s">
        <v>81</v>
      </c>
      <c r="T27" t="s">
        <v>80</v>
      </c>
      <c r="Z27" s="25"/>
      <c r="AA27" s="25"/>
      <c r="AB27" s="25"/>
      <c r="AC27" s="25"/>
      <c r="AD27" s="25"/>
      <c r="AE27" s="25"/>
      <c r="AF27" s="25"/>
      <c r="AG27" s="25"/>
      <c r="AH27" s="25"/>
      <c r="AI27" s="25"/>
    </row>
    <row r="28" spans="2:35">
      <c r="B28" t="s">
        <v>14</v>
      </c>
      <c r="D28" s="260">
        <f>D18-D21-D25</f>
        <v>2.4999999999999998E-2</v>
      </c>
      <c r="E28" s="244"/>
      <c r="F28" s="260"/>
      <c r="G28" s="244"/>
      <c r="H28" s="244"/>
      <c r="I28" s="244"/>
      <c r="J28" s="246"/>
      <c r="K28" s="244"/>
      <c r="L28" s="260"/>
      <c r="M28" s="244"/>
      <c r="N28" s="244"/>
      <c r="P28" s="224">
        <f>P29/P$11</f>
        <v>2.7650000000000001E-2</v>
      </c>
      <c r="S28" t="s">
        <v>82</v>
      </c>
      <c r="T28" t="s">
        <v>80</v>
      </c>
      <c r="Z28" s="25"/>
      <c r="AA28" s="25"/>
      <c r="AB28" s="25"/>
      <c r="AC28" s="25"/>
      <c r="AD28" s="25"/>
      <c r="AE28" s="25"/>
      <c r="AF28" s="25"/>
      <c r="AG28" s="25"/>
      <c r="AH28" s="25"/>
      <c r="AI28" s="25"/>
    </row>
    <row r="29" spans="2:35">
      <c r="B29" s="24"/>
      <c r="C29" s="24"/>
      <c r="D29" s="196">
        <f>D19+D23+D26</f>
        <v>25650000</v>
      </c>
      <c r="E29" s="43"/>
      <c r="F29" s="196"/>
      <c r="G29" s="43"/>
      <c r="H29" s="219"/>
      <c r="I29" s="43"/>
      <c r="J29" s="44"/>
      <c r="K29" s="43"/>
      <c r="L29" s="196">
        <f>L19+L23+L26</f>
        <v>0</v>
      </c>
      <c r="M29" s="43"/>
      <c r="N29" s="196">
        <f>N19+N23+N26</f>
        <v>2000000</v>
      </c>
      <c r="O29" s="198"/>
      <c r="P29" s="200">
        <f>P19+P23+P26</f>
        <v>27650000</v>
      </c>
      <c r="S29" t="s">
        <v>83</v>
      </c>
      <c r="T29" s="101" t="s">
        <v>65</v>
      </c>
      <c r="Z29" s="25"/>
      <c r="AA29" s="25"/>
      <c r="AB29" s="25"/>
      <c r="AC29" s="25"/>
      <c r="AD29" s="25"/>
      <c r="AE29" s="25"/>
      <c r="AF29" s="25"/>
      <c r="AG29" s="25"/>
      <c r="AH29" s="25"/>
      <c r="AI29" s="25"/>
    </row>
    <row r="30" spans="2:35" s="69" customFormat="1">
      <c r="B30" s="68"/>
      <c r="C30" s="68"/>
      <c r="D30" s="192"/>
      <c r="E30" s="68"/>
      <c r="F30" s="192"/>
      <c r="G30" s="68"/>
      <c r="H30" s="193"/>
      <c r="I30" s="68"/>
      <c r="J30" s="193"/>
      <c r="K30" s="68"/>
      <c r="L30" s="192"/>
      <c r="M30" s="68"/>
      <c r="N30" s="192"/>
      <c r="O30" s="68"/>
      <c r="P30" s="194"/>
      <c r="T30" s="195"/>
      <c r="Z30" s="25"/>
      <c r="AA30" s="25"/>
      <c r="AB30" s="25"/>
      <c r="AC30" s="25"/>
      <c r="AD30" s="25"/>
      <c r="AE30" s="25"/>
      <c r="AF30" s="25"/>
      <c r="AG30" s="25"/>
      <c r="AH30" s="25"/>
      <c r="AI30" s="25"/>
    </row>
    <row r="31" spans="2:35" s="215" customFormat="1">
      <c r="B31" s="215" t="s">
        <v>207</v>
      </c>
      <c r="D31" s="213">
        <v>0</v>
      </c>
      <c r="E31" s="195"/>
      <c r="F31" s="213"/>
      <c r="G31" s="195"/>
      <c r="H31" s="213"/>
      <c r="I31" s="195"/>
      <c r="J31" s="214"/>
      <c r="K31" s="195"/>
      <c r="L31" s="213">
        <v>600000</v>
      </c>
      <c r="M31" s="195"/>
      <c r="N31" s="213">
        <v>0</v>
      </c>
      <c r="P31" s="16">
        <f>D31+J31+L31+N31+F31+H31</f>
        <v>600000</v>
      </c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</row>
    <row r="32" spans="2:35" s="69" customFormat="1">
      <c r="C32" s="68"/>
      <c r="D32" s="192"/>
      <c r="E32" s="68"/>
      <c r="F32" s="192"/>
      <c r="G32" s="68"/>
      <c r="H32" s="193"/>
      <c r="I32" s="68"/>
      <c r="J32" s="193"/>
      <c r="K32" s="68"/>
      <c r="L32" s="192"/>
      <c r="M32" s="68"/>
      <c r="N32" s="192"/>
      <c r="O32" s="68"/>
      <c r="P32" s="194"/>
      <c r="T32" s="195"/>
      <c r="Z32" s="25"/>
      <c r="AA32" s="25"/>
      <c r="AB32" s="25"/>
      <c r="AC32" s="25"/>
      <c r="AD32" s="25"/>
      <c r="AE32" s="25"/>
      <c r="AF32" s="25"/>
      <c r="AG32" s="25"/>
      <c r="AH32" s="25"/>
      <c r="AI32" s="25"/>
    </row>
    <row r="33" spans="2:37" s="69" customFormat="1">
      <c r="B33" s="205" t="s">
        <v>208</v>
      </c>
      <c r="C33" s="205"/>
      <c r="D33" s="202">
        <f>D29+D31</f>
        <v>25650000</v>
      </c>
      <c r="E33" s="202"/>
      <c r="F33" s="202"/>
      <c r="G33" s="202"/>
      <c r="H33" s="202"/>
      <c r="I33" s="201"/>
      <c r="J33" s="203"/>
      <c r="K33" s="201"/>
      <c r="L33" s="202">
        <f>L29+L31</f>
        <v>600000</v>
      </c>
      <c r="M33" s="201"/>
      <c r="N33" s="202">
        <f>N29+N31</f>
        <v>2000000</v>
      </c>
      <c r="O33" s="205"/>
      <c r="P33" s="209">
        <f>D33+J33+L33+N33+F33+H33</f>
        <v>28250000</v>
      </c>
      <c r="T33" s="195"/>
      <c r="Z33" s="25"/>
      <c r="AA33" s="25"/>
      <c r="AB33" s="25"/>
      <c r="AC33" s="25"/>
      <c r="AD33" s="25"/>
      <c r="AE33" s="25"/>
      <c r="AF33" s="25"/>
      <c r="AG33" s="25"/>
      <c r="AH33" s="25"/>
      <c r="AI33" s="25"/>
    </row>
    <row r="34" spans="2:37"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P34" s="13"/>
      <c r="S34" s="25"/>
      <c r="T34" s="25"/>
      <c r="U34" s="25"/>
      <c r="V34" s="25"/>
      <c r="W34" s="25"/>
      <c r="Z34" s="25"/>
      <c r="AA34" s="25"/>
      <c r="AB34" s="25"/>
      <c r="AC34" s="72"/>
      <c r="AD34" s="25"/>
      <c r="AE34" s="25"/>
      <c r="AF34" s="25"/>
      <c r="AG34" s="25"/>
      <c r="AH34" s="25"/>
      <c r="AI34" s="25"/>
    </row>
    <row r="35" spans="2:37">
      <c r="B35" t="s">
        <v>56</v>
      </c>
      <c r="D35" s="295">
        <f>'Model-2-Low'!D35*1.5</f>
        <v>0.30000000000000004</v>
      </c>
      <c r="E35" s="195"/>
      <c r="F35" s="258"/>
      <c r="G35" s="195"/>
      <c r="H35" s="195"/>
      <c r="I35" s="195"/>
      <c r="J35" s="258"/>
      <c r="K35" s="195"/>
      <c r="L35" s="195"/>
      <c r="M35" s="195"/>
      <c r="N35" s="195"/>
      <c r="P35" s="225">
        <f>-P36/P29</f>
        <v>2.4482820976491864</v>
      </c>
      <c r="S35" s="25"/>
      <c r="T35" s="234"/>
      <c r="U35" s="25"/>
      <c r="V35" s="25"/>
      <c r="W35" s="25"/>
      <c r="X35" s="69"/>
      <c r="Z35" s="40"/>
      <c r="AA35" s="40"/>
      <c r="AB35" s="25"/>
      <c r="AC35" s="163"/>
      <c r="AD35" s="25"/>
      <c r="AE35" s="40"/>
      <c r="AF35" s="25"/>
      <c r="AG35" s="25"/>
      <c r="AH35" s="25"/>
      <c r="AI35" s="25"/>
    </row>
    <row r="36" spans="2:37">
      <c r="B36" t="s">
        <v>16</v>
      </c>
      <c r="D36" s="255">
        <f>-D35*D29</f>
        <v>-7695000.0000000009</v>
      </c>
      <c r="E36" s="195"/>
      <c r="F36" s="255"/>
      <c r="G36" s="195"/>
      <c r="H36" s="214"/>
      <c r="I36" s="195"/>
      <c r="J36" s="214"/>
      <c r="K36" s="195"/>
      <c r="L36" s="294">
        <f>'Model-2-Low'!L36*1.5</f>
        <v>-60000000</v>
      </c>
      <c r="M36" s="255"/>
      <c r="N36" s="255"/>
      <c r="P36" s="16">
        <f>D36+J36+L36+N36+F36+H36</f>
        <v>-67695000</v>
      </c>
      <c r="S36" s="25"/>
      <c r="T36" s="106"/>
      <c r="U36" s="25"/>
      <c r="V36" s="25"/>
      <c r="W36" s="25"/>
      <c r="X36" s="25"/>
      <c r="Z36" s="57"/>
      <c r="AA36" s="25"/>
      <c r="AB36" s="25"/>
      <c r="AC36" s="64"/>
      <c r="AD36" s="25"/>
      <c r="AE36" s="25"/>
      <c r="AF36" s="25"/>
      <c r="AG36" s="25"/>
      <c r="AH36" s="25"/>
      <c r="AI36" s="25"/>
      <c r="AJ36" s="25"/>
      <c r="AK36" s="25"/>
    </row>
    <row r="37" spans="2:37" hidden="1" outlineLevel="1">
      <c r="D37" s="255"/>
      <c r="E37" s="195"/>
      <c r="F37" s="255"/>
      <c r="G37" s="195"/>
      <c r="H37" s="214"/>
      <c r="I37" s="195"/>
      <c r="J37" s="214"/>
      <c r="K37" s="195"/>
      <c r="L37" s="255"/>
      <c r="M37" s="255"/>
      <c r="N37" s="255"/>
      <c r="P37" s="15"/>
      <c r="S37" s="121"/>
      <c r="T37" s="149"/>
      <c r="U37" s="121"/>
      <c r="V37" s="25"/>
      <c r="W37" s="57"/>
      <c r="X37" s="57"/>
      <c r="Z37" s="25"/>
      <c r="AA37" s="25"/>
      <c r="AB37" s="25"/>
      <c r="AC37" s="64"/>
      <c r="AD37" s="25"/>
      <c r="AE37" s="25"/>
      <c r="AF37" s="25"/>
      <c r="AG37" s="25"/>
      <c r="AH37" s="25"/>
      <c r="AI37" s="25"/>
      <c r="AJ37" s="25"/>
      <c r="AK37" s="25"/>
    </row>
    <row r="38" spans="2:37" hidden="1" outlineLevel="1">
      <c r="B38" s="23" t="s">
        <v>30</v>
      </c>
      <c r="C38" s="23"/>
      <c r="D38" s="255">
        <f>D33+D36</f>
        <v>17955000</v>
      </c>
      <c r="E38" s="255"/>
      <c r="F38" s="255"/>
      <c r="G38" s="255"/>
      <c r="H38" s="255"/>
      <c r="I38" s="195"/>
      <c r="J38" s="214"/>
      <c r="K38" s="195"/>
      <c r="L38" s="255">
        <f>L33+L36</f>
        <v>-59400000</v>
      </c>
      <c r="M38" s="255"/>
      <c r="N38" s="255">
        <f t="shared" ref="N38" si="0">N33+N36</f>
        <v>2000000</v>
      </c>
      <c r="O38" s="23"/>
      <c r="P38" s="31">
        <f>P33+P36</f>
        <v>-39445000</v>
      </c>
      <c r="S38" s="25"/>
      <c r="T38" s="110"/>
      <c r="U38" s="57"/>
      <c r="V38" s="25"/>
      <c r="W38" s="57"/>
      <c r="X38" s="57"/>
      <c r="Z38" s="57"/>
      <c r="AA38" s="25"/>
      <c r="AB38" s="25"/>
      <c r="AC38" s="71"/>
      <c r="AD38" s="25"/>
      <c r="AE38" s="25"/>
      <c r="AF38" s="25"/>
      <c r="AG38" s="25"/>
      <c r="AH38" s="25"/>
      <c r="AI38" s="25"/>
      <c r="AJ38" s="25"/>
      <c r="AK38" s="25"/>
    </row>
    <row r="39" spans="2:37" collapsed="1">
      <c r="D39" s="195" t="s">
        <v>4</v>
      </c>
      <c r="E39" s="195"/>
      <c r="F39" s="195"/>
      <c r="G39" s="195"/>
      <c r="H39" s="214"/>
      <c r="I39" s="195"/>
      <c r="J39" s="214"/>
      <c r="K39" s="195"/>
      <c r="L39" s="255"/>
      <c r="M39" s="255"/>
      <c r="N39" s="255"/>
      <c r="P39" s="119"/>
      <c r="S39" s="25"/>
      <c r="T39" s="109"/>
      <c r="U39" s="57"/>
      <c r="V39" s="25"/>
      <c r="W39" s="57"/>
      <c r="X39" s="114"/>
      <c r="Z39" s="114"/>
      <c r="AA39" s="25"/>
      <c r="AB39" s="25"/>
      <c r="AC39" s="72"/>
      <c r="AD39" s="25"/>
      <c r="AE39" s="25"/>
      <c r="AF39" s="25"/>
      <c r="AG39" s="25"/>
      <c r="AH39" s="25"/>
      <c r="AI39" s="25"/>
      <c r="AJ39" s="25"/>
      <c r="AK39" s="25"/>
    </row>
    <row r="40" spans="2:37">
      <c r="B40" t="s">
        <v>40</v>
      </c>
      <c r="D40" s="195"/>
      <c r="E40" s="195"/>
      <c r="F40" s="195"/>
      <c r="G40" s="195"/>
      <c r="H40" s="214"/>
      <c r="I40" s="195"/>
      <c r="J40" s="214"/>
      <c r="K40" s="195"/>
      <c r="L40" s="255"/>
      <c r="M40" s="255"/>
      <c r="N40" s="294">
        <f>'Model-2-Low'!N40*1.5</f>
        <v>-15000000</v>
      </c>
      <c r="P40" s="16">
        <f>D40+J40+L40+N40+F40+H40</f>
        <v>-15000000</v>
      </c>
      <c r="S40" s="25"/>
      <c r="T40" s="109"/>
      <c r="U40" s="25"/>
      <c r="V40" s="25"/>
      <c r="W40" s="57"/>
      <c r="X40" s="57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</row>
    <row r="41" spans="2:37">
      <c r="D41" s="195"/>
      <c r="E41" s="195"/>
      <c r="F41" s="195"/>
      <c r="G41" s="195"/>
      <c r="H41" s="214"/>
      <c r="I41" s="195"/>
      <c r="J41" s="214"/>
      <c r="K41" s="195"/>
      <c r="L41" s="195"/>
      <c r="M41" s="195"/>
      <c r="N41" s="262"/>
      <c r="P41" s="16"/>
      <c r="S41" s="25"/>
      <c r="T41" s="109"/>
      <c r="U41" s="25"/>
      <c r="V41" s="25"/>
      <c r="W41" s="57"/>
      <c r="X41" s="57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</row>
    <row r="42" spans="2:37">
      <c r="B42" s="205" t="s">
        <v>217</v>
      </c>
      <c r="C42" s="201"/>
      <c r="D42" s="202">
        <f>D36+D40</f>
        <v>-7695000.0000000009</v>
      </c>
      <c r="E42" s="201"/>
      <c r="F42" s="202"/>
      <c r="G42" s="201"/>
      <c r="H42" s="202"/>
      <c r="I42" s="201"/>
      <c r="J42" s="203"/>
      <c r="K42" s="201"/>
      <c r="L42" s="202">
        <f>L36+L40</f>
        <v>-60000000</v>
      </c>
      <c r="M42" s="201"/>
      <c r="N42" s="202">
        <f>N36+N40</f>
        <v>-15000000</v>
      </c>
      <c r="O42" s="201"/>
      <c r="P42" s="241">
        <f>D42+J42+L42+N42+F42+H42</f>
        <v>-82695000</v>
      </c>
      <c r="S42" s="25"/>
      <c r="T42" s="109"/>
      <c r="U42" s="25"/>
      <c r="V42" s="25"/>
      <c r="W42" s="57"/>
      <c r="X42" s="57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</row>
    <row r="43" spans="2:37">
      <c r="D43" s="244"/>
      <c r="E43" s="244"/>
      <c r="F43" s="244"/>
      <c r="G43" s="244"/>
      <c r="H43" s="42"/>
      <c r="I43" s="244"/>
      <c r="J43" s="42"/>
      <c r="K43" s="244"/>
      <c r="L43" s="244"/>
      <c r="M43" s="244"/>
      <c r="N43" s="262"/>
      <c r="P43" s="16"/>
      <c r="S43" s="25"/>
      <c r="T43" s="109"/>
      <c r="U43" s="25"/>
      <c r="V43" s="25"/>
      <c r="W43" s="57"/>
      <c r="X43" s="57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</row>
    <row r="44" spans="2:37">
      <c r="D44" s="244"/>
      <c r="E44" s="244"/>
      <c r="F44" s="244"/>
      <c r="G44" s="244"/>
      <c r="H44" s="42"/>
      <c r="I44" s="244"/>
      <c r="J44" s="42"/>
      <c r="K44" s="244"/>
      <c r="L44" s="244"/>
      <c r="M44" s="244"/>
      <c r="N44" s="244"/>
      <c r="P44" s="13"/>
      <c r="S44" s="25"/>
      <c r="T44" s="110"/>
      <c r="U44" s="57"/>
      <c r="V44" s="25"/>
      <c r="W44" s="57"/>
      <c r="X44" s="57"/>
      <c r="Z44" s="25"/>
      <c r="AA44" s="25"/>
      <c r="AB44" s="25"/>
      <c r="AC44" s="71"/>
      <c r="AD44" s="25"/>
      <c r="AE44" s="71"/>
      <c r="AF44" s="25"/>
      <c r="AG44" s="25"/>
      <c r="AH44" s="25"/>
      <c r="AI44" s="109"/>
      <c r="AJ44" s="109"/>
      <c r="AK44" s="25"/>
    </row>
    <row r="45" spans="2:37" s="17" customFormat="1" ht="16.5" thickBot="1">
      <c r="B45" s="210" t="s">
        <v>216</v>
      </c>
      <c r="C45" s="210"/>
      <c r="D45" s="211">
        <f>D33+D42</f>
        <v>17955000</v>
      </c>
      <c r="E45" s="211"/>
      <c r="F45" s="211"/>
      <c r="G45" s="211"/>
      <c r="H45" s="211"/>
      <c r="I45" s="211"/>
      <c r="J45" s="211"/>
      <c r="K45" s="211"/>
      <c r="L45" s="211">
        <f>L33+L42</f>
        <v>-59400000</v>
      </c>
      <c r="M45" s="211"/>
      <c r="N45" s="211">
        <f>N33+N42</f>
        <v>-13000000</v>
      </c>
      <c r="O45" s="211"/>
      <c r="P45" s="212">
        <f>P33+P42</f>
        <v>-54445000</v>
      </c>
      <c r="S45" s="25"/>
      <c r="T45" s="25"/>
      <c r="U45" s="72"/>
      <c r="V45" s="25"/>
      <c r="W45" s="109"/>
      <c r="X45" s="57"/>
      <c r="Y45"/>
      <c r="Z45" s="109"/>
      <c r="AA45" s="25"/>
      <c r="AB45" s="25"/>
      <c r="AC45" s="108"/>
      <c r="AD45" s="25"/>
      <c r="AE45" s="108"/>
      <c r="AF45" s="25"/>
      <c r="AG45" s="25"/>
      <c r="AH45" s="40"/>
      <c r="AI45" s="164"/>
      <c r="AJ45" s="164"/>
      <c r="AK45" s="40"/>
    </row>
    <row r="46" spans="2:37" ht="16.5" thickTop="1">
      <c r="P46" s="3"/>
      <c r="S46" s="25"/>
      <c r="T46" s="109"/>
      <c r="U46" s="72"/>
      <c r="V46" s="25"/>
      <c r="W46" s="109"/>
      <c r="X46" s="25"/>
      <c r="AA46" s="25"/>
      <c r="AB46" s="25"/>
      <c r="AC46" s="108"/>
      <c r="AD46" s="25"/>
      <c r="AE46" s="108"/>
      <c r="AF46" s="40"/>
      <c r="AG46" s="25"/>
      <c r="AH46" s="25"/>
      <c r="AI46" s="25"/>
      <c r="AJ46" s="25"/>
      <c r="AK46" s="25"/>
    </row>
    <row r="47" spans="2:37">
      <c r="P47" s="3"/>
      <c r="Q47" s="25"/>
      <c r="R47" s="25"/>
      <c r="S47" s="235"/>
      <c r="T47" s="25"/>
      <c r="U47" s="78"/>
      <c r="V47" s="109"/>
      <c r="W47" s="25"/>
      <c r="X47" s="25"/>
      <c r="Z47" s="57"/>
      <c r="AA47" s="108"/>
      <c r="AB47" s="25"/>
      <c r="AC47" s="108"/>
      <c r="AD47" s="25"/>
      <c r="AE47" s="108"/>
      <c r="AF47" s="25"/>
      <c r="AG47" s="25"/>
      <c r="AH47" s="25"/>
      <c r="AI47" s="25"/>
      <c r="AJ47" s="25"/>
      <c r="AK47" s="25"/>
    </row>
    <row r="48" spans="2:37">
      <c r="B48" s="17"/>
      <c r="C48" s="17"/>
      <c r="D48" s="18"/>
      <c r="E48" s="17"/>
      <c r="F48" s="18"/>
      <c r="G48" s="17"/>
      <c r="H48" s="18"/>
      <c r="I48" s="17"/>
      <c r="J48" s="18"/>
      <c r="K48" s="17"/>
      <c r="L48" s="18"/>
      <c r="M48" s="17"/>
      <c r="N48" s="17"/>
      <c r="O48" s="17"/>
      <c r="P48" s="18"/>
      <c r="Q48" s="25"/>
      <c r="R48" s="55"/>
      <c r="S48" s="235"/>
      <c r="T48" s="25"/>
      <c r="U48" s="105"/>
      <c r="V48" s="25"/>
      <c r="W48" s="25"/>
      <c r="X48" s="25"/>
      <c r="Z48" s="57"/>
      <c r="AA48" s="108"/>
      <c r="AB48" s="25"/>
      <c r="AC48" s="108"/>
      <c r="AD48" s="57"/>
      <c r="AE48" s="108"/>
      <c r="AF48" s="25"/>
      <c r="AG48" s="25"/>
      <c r="AH48" s="25"/>
      <c r="AI48" s="25"/>
      <c r="AJ48" s="25"/>
      <c r="AK48" s="25"/>
    </row>
    <row r="49" spans="2:37">
      <c r="B49" s="290" t="s">
        <v>138</v>
      </c>
      <c r="C49" s="290"/>
      <c r="D49" s="291">
        <f>SUM(D36:J36)/P11</f>
        <v>-7.6950000000000013E-3</v>
      </c>
      <c r="E49" s="25"/>
      <c r="F49" s="56"/>
      <c r="G49" s="25"/>
      <c r="H49" s="25"/>
      <c r="I49" s="25"/>
      <c r="J49" s="25"/>
      <c r="K49" s="25"/>
      <c r="L49" s="25"/>
      <c r="M49" s="25"/>
      <c r="N49" s="25"/>
      <c r="O49" s="25"/>
      <c r="P49" s="57"/>
      <c r="Q49" s="25"/>
      <c r="R49" s="25"/>
      <c r="S49" s="25"/>
      <c r="T49" s="25"/>
      <c r="U49" s="78"/>
      <c r="V49" s="25"/>
      <c r="W49" s="25"/>
      <c r="X49" s="25"/>
      <c r="Z49" s="57"/>
      <c r="AA49" s="108"/>
      <c r="AB49" s="25"/>
      <c r="AC49" s="108"/>
      <c r="AD49" s="57"/>
      <c r="AE49" s="108"/>
      <c r="AF49" s="25"/>
      <c r="AG49" s="25"/>
      <c r="AH49" s="25"/>
      <c r="AI49" s="109"/>
      <c r="AJ49" s="109"/>
      <c r="AK49" s="25"/>
    </row>
    <row r="50" spans="2:37">
      <c r="B50" s="25"/>
      <c r="C50" s="25"/>
      <c r="D50" s="71"/>
      <c r="E50" s="25"/>
      <c r="F50" s="25"/>
      <c r="G50" s="25"/>
      <c r="H50" s="25"/>
      <c r="I50" s="25"/>
      <c r="J50" s="25"/>
      <c r="K50" s="25"/>
      <c r="L50" s="25"/>
      <c r="M50" s="25"/>
      <c r="N50" s="56"/>
      <c r="O50" s="25"/>
      <c r="P50" s="57"/>
      <c r="Q50" s="25"/>
      <c r="R50" s="25"/>
      <c r="S50" s="25"/>
      <c r="T50" s="25"/>
      <c r="U50" s="25"/>
      <c r="V50" s="25"/>
      <c r="W50" s="25"/>
      <c r="X50" s="25"/>
      <c r="Z50" s="57"/>
      <c r="AA50" s="108"/>
      <c r="AB50" s="25"/>
      <c r="AC50" s="108"/>
      <c r="AD50" s="57"/>
      <c r="AE50" s="108"/>
      <c r="AF50" s="25"/>
      <c r="AG50" s="25"/>
      <c r="AH50" s="25"/>
      <c r="AI50" s="25"/>
      <c r="AJ50" s="25"/>
      <c r="AK50" s="25"/>
    </row>
    <row r="51" spans="2:37">
      <c r="B51" s="25"/>
      <c r="C51" s="25"/>
      <c r="D51" s="63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25"/>
      <c r="P51" s="56"/>
      <c r="Q51" s="25"/>
      <c r="R51" s="25"/>
      <c r="AA51" s="162"/>
      <c r="AB51" s="57"/>
      <c r="AC51" s="162"/>
      <c r="AD51" s="25"/>
      <c r="AE51" s="162"/>
      <c r="AF51" s="25"/>
      <c r="AG51" s="25"/>
      <c r="AH51" s="25"/>
      <c r="AI51" s="165"/>
      <c r="AJ51" s="165"/>
      <c r="AK51" s="25"/>
    </row>
    <row r="52" spans="2:37"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AA52" s="25"/>
      <c r="AB52" s="57"/>
      <c r="AC52" s="111"/>
      <c r="AD52" s="57"/>
      <c r="AE52" s="111"/>
      <c r="AF52" s="57"/>
      <c r="AG52" s="25"/>
      <c r="AH52" s="25"/>
      <c r="AI52" s="25"/>
      <c r="AJ52" s="25"/>
      <c r="AK52" s="25"/>
    </row>
    <row r="53" spans="2:37">
      <c r="B53" s="25"/>
      <c r="C53" s="25"/>
      <c r="D53" s="72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AA53" s="57"/>
      <c r="AB53" s="57"/>
      <c r="AC53" s="109"/>
      <c r="AD53" s="57"/>
      <c r="AE53" s="57"/>
      <c r="AF53" s="109"/>
      <c r="AG53" s="25"/>
      <c r="AH53" s="25"/>
      <c r="AI53" s="25"/>
    </row>
    <row r="54" spans="2:37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AA54" s="25"/>
      <c r="AB54" s="25"/>
      <c r="AC54" s="109"/>
      <c r="AD54" s="25"/>
      <c r="AE54" s="57"/>
      <c r="AF54" s="109"/>
      <c r="AG54" s="25"/>
      <c r="AH54" s="25"/>
      <c r="AI54" s="25"/>
    </row>
    <row r="55" spans="2:37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AA55" s="25"/>
      <c r="AB55" s="25"/>
      <c r="AC55" s="25"/>
      <c r="AD55" s="25"/>
      <c r="AE55" s="57"/>
      <c r="AF55" s="57"/>
      <c r="AG55" s="25"/>
      <c r="AH55" s="25"/>
      <c r="AI55" s="25"/>
    </row>
    <row r="56" spans="2:37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AA56" s="25"/>
      <c r="AB56" s="25"/>
      <c r="AC56" s="25"/>
      <c r="AD56" s="25"/>
      <c r="AE56" s="57"/>
      <c r="AF56" s="57"/>
      <c r="AG56" s="25"/>
      <c r="AH56" s="25"/>
      <c r="AI56" s="25"/>
    </row>
    <row r="57" spans="2:37">
      <c r="B57" s="4" t="s">
        <v>4</v>
      </c>
      <c r="R57" s="25"/>
      <c r="AA57" s="25"/>
      <c r="AB57" s="25"/>
      <c r="AC57" s="25"/>
      <c r="AD57" s="25"/>
      <c r="AE57" s="57"/>
      <c r="AF57" s="57"/>
      <c r="AG57" s="25"/>
      <c r="AH57" s="25"/>
      <c r="AI57" s="25"/>
    </row>
    <row r="58" spans="2:37">
      <c r="H58" s="61"/>
      <c r="R58" s="25"/>
      <c r="AE58" s="25"/>
      <c r="AF58" s="25"/>
      <c r="AG58" s="25"/>
    </row>
    <row r="59" spans="2:37">
      <c r="B59" s="227"/>
      <c r="C59" s="228"/>
      <c r="D59" s="228"/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228"/>
      <c r="P59" s="228"/>
      <c r="R59" s="7"/>
      <c r="S59" s="7" t="s">
        <v>4</v>
      </c>
      <c r="T59" s="7" t="s">
        <v>91</v>
      </c>
      <c r="U59" s="7" t="s">
        <v>43</v>
      </c>
      <c r="V59" s="7" t="s">
        <v>44</v>
      </c>
      <c r="W59" s="7" t="s">
        <v>45</v>
      </c>
      <c r="X59" s="7" t="s">
        <v>46</v>
      </c>
      <c r="Y59" s="7" t="s">
        <v>47</v>
      </c>
      <c r="Z59" s="7" t="s">
        <v>48</v>
      </c>
      <c r="AA59" s="7" t="s">
        <v>49</v>
      </c>
      <c r="AB59" s="7" t="s">
        <v>50</v>
      </c>
      <c r="AC59" s="7" t="s">
        <v>51</v>
      </c>
      <c r="AD59" s="7" t="s">
        <v>52</v>
      </c>
      <c r="AE59" s="7"/>
      <c r="AF59" s="7"/>
    </row>
    <row r="60" spans="2:37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R60" s="102" t="s">
        <v>1</v>
      </c>
      <c r="S60" s="103"/>
    </row>
    <row r="61" spans="2:37">
      <c r="B61" s="25"/>
      <c r="C61" s="25"/>
      <c r="D61" s="229"/>
      <c r="E61" s="229"/>
      <c r="F61" s="229"/>
      <c r="G61" s="229"/>
      <c r="H61" s="229"/>
      <c r="I61" s="229"/>
      <c r="J61" s="229"/>
      <c r="K61" s="229"/>
      <c r="L61" s="229"/>
      <c r="M61" s="25"/>
      <c r="N61" s="25"/>
      <c r="O61" s="25"/>
      <c r="P61" s="229"/>
      <c r="S61" s="17" t="s">
        <v>89</v>
      </c>
      <c r="T61" s="17"/>
    </row>
    <row r="62" spans="2:37">
      <c r="B62" s="25"/>
      <c r="C62" s="25"/>
      <c r="D62" s="229"/>
      <c r="E62" s="229"/>
      <c r="F62" s="229"/>
      <c r="G62" s="229"/>
      <c r="H62" s="229"/>
      <c r="I62" s="229"/>
      <c r="J62" s="229"/>
      <c r="K62" s="229"/>
      <c r="L62" s="229"/>
      <c r="M62" s="25"/>
      <c r="N62" s="25"/>
      <c r="O62" s="25"/>
      <c r="P62" s="229"/>
      <c r="S62" s="91" t="s">
        <v>115</v>
      </c>
      <c r="T62" s="91"/>
      <c r="U62" s="33">
        <f t="shared" ref="U62:AD62" si="1">U68/(1-$D$8)</f>
        <v>50761421.319796957</v>
      </c>
      <c r="V62" s="33">
        <f t="shared" si="1"/>
        <v>76142131.979695439</v>
      </c>
      <c r="W62" s="33">
        <f>W68/(1-$D$8)</f>
        <v>126903553.29949239</v>
      </c>
      <c r="X62" s="33">
        <f t="shared" si="1"/>
        <v>203045685.27918783</v>
      </c>
      <c r="Y62" s="33">
        <f t="shared" si="1"/>
        <v>304568527.91878176</v>
      </c>
      <c r="Z62" s="33">
        <f t="shared" si="1"/>
        <v>406091370.55837566</v>
      </c>
      <c r="AA62" s="33">
        <f t="shared" si="1"/>
        <v>507614213.19796956</v>
      </c>
      <c r="AB62" s="33">
        <f t="shared" si="1"/>
        <v>659898477.15736043</v>
      </c>
      <c r="AC62" s="33">
        <f t="shared" si="1"/>
        <v>812182741.11675131</v>
      </c>
      <c r="AD62" s="33">
        <f t="shared" si="1"/>
        <v>1015228426.3959391</v>
      </c>
      <c r="AF62" s="47">
        <f>SUM(U62:AD62)</f>
        <v>4162436548.2233505</v>
      </c>
    </row>
    <row r="63" spans="2:37">
      <c r="B63" s="25"/>
      <c r="C63" s="25"/>
      <c r="D63" s="109"/>
      <c r="E63" s="229"/>
      <c r="F63" s="109"/>
      <c r="G63" s="229"/>
      <c r="H63" s="109"/>
      <c r="I63" s="229"/>
      <c r="J63" s="109"/>
      <c r="K63" s="229"/>
      <c r="L63" s="109"/>
      <c r="M63" s="25"/>
      <c r="N63" s="25"/>
      <c r="O63" s="25"/>
      <c r="P63" s="229"/>
      <c r="S63" s="91" t="s">
        <v>88</v>
      </c>
      <c r="T63" s="91"/>
      <c r="U63" s="33">
        <f t="shared" ref="U63:AD63" si="2">U69/(1-$F$8)</f>
        <v>0</v>
      </c>
      <c r="V63" s="33">
        <f t="shared" si="2"/>
        <v>0</v>
      </c>
      <c r="W63" s="33">
        <f t="shared" si="2"/>
        <v>0</v>
      </c>
      <c r="X63" s="33">
        <f t="shared" si="2"/>
        <v>0</v>
      </c>
      <c r="Y63" s="33">
        <f t="shared" si="2"/>
        <v>0</v>
      </c>
      <c r="Z63" s="33">
        <f t="shared" si="2"/>
        <v>0</v>
      </c>
      <c r="AA63" s="33">
        <f t="shared" si="2"/>
        <v>0</v>
      </c>
      <c r="AB63" s="33">
        <f t="shared" si="2"/>
        <v>0</v>
      </c>
      <c r="AC63" s="33">
        <f t="shared" si="2"/>
        <v>0</v>
      </c>
      <c r="AD63" s="33">
        <f t="shared" si="2"/>
        <v>0</v>
      </c>
      <c r="AF63" s="47">
        <f>SUM(U63:AD63)</f>
        <v>0</v>
      </c>
    </row>
    <row r="64" spans="2:37"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S64" s="91" t="s">
        <v>87</v>
      </c>
      <c r="T64" s="91"/>
      <c r="U64" s="33">
        <f t="shared" ref="U64:AD64" si="3">U70/(1-$H$8)</f>
        <v>0</v>
      </c>
      <c r="V64" s="33">
        <f t="shared" si="3"/>
        <v>0</v>
      </c>
      <c r="W64" s="33">
        <f t="shared" si="3"/>
        <v>0</v>
      </c>
      <c r="X64" s="33">
        <f t="shared" si="3"/>
        <v>0</v>
      </c>
      <c r="Y64" s="33">
        <f t="shared" si="3"/>
        <v>0</v>
      </c>
      <c r="Z64" s="33">
        <f t="shared" si="3"/>
        <v>0</v>
      </c>
      <c r="AA64" s="33">
        <f t="shared" si="3"/>
        <v>0</v>
      </c>
      <c r="AB64" s="33">
        <f t="shared" si="3"/>
        <v>0</v>
      </c>
      <c r="AC64" s="33">
        <f t="shared" si="3"/>
        <v>0</v>
      </c>
      <c r="AD64" s="33">
        <f t="shared" si="3"/>
        <v>0</v>
      </c>
      <c r="AF64" s="47">
        <f>SUM(U64:AD64)</f>
        <v>0</v>
      </c>
    </row>
    <row r="65" spans="2:33"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56"/>
      <c r="O65" s="25"/>
      <c r="P65" s="229"/>
      <c r="S65" s="53" t="s">
        <v>28</v>
      </c>
      <c r="T65" s="53"/>
      <c r="U65" s="86">
        <f t="shared" ref="U65:AD65" si="4">SUM(U62:U64)</f>
        <v>50761421.319796957</v>
      </c>
      <c r="V65" s="86">
        <f t="shared" si="4"/>
        <v>76142131.979695439</v>
      </c>
      <c r="W65" s="86">
        <f t="shared" si="4"/>
        <v>126903553.29949239</v>
      </c>
      <c r="X65" s="86">
        <f t="shared" si="4"/>
        <v>203045685.27918783</v>
      </c>
      <c r="Y65" s="86">
        <f t="shared" si="4"/>
        <v>304568527.91878176</v>
      </c>
      <c r="Z65" s="86">
        <f t="shared" si="4"/>
        <v>406091370.55837566</v>
      </c>
      <c r="AA65" s="86">
        <f t="shared" si="4"/>
        <v>507614213.19796956</v>
      </c>
      <c r="AB65" s="86">
        <f t="shared" si="4"/>
        <v>659898477.15736043</v>
      </c>
      <c r="AC65" s="86">
        <f t="shared" si="4"/>
        <v>812182741.11675131</v>
      </c>
      <c r="AD65" s="86">
        <f t="shared" si="4"/>
        <v>1015228426.3959391</v>
      </c>
      <c r="AE65" s="48"/>
      <c r="AF65" s="49">
        <f>SUM(U65:AD65)</f>
        <v>4162436548.2233505</v>
      </c>
    </row>
    <row r="66" spans="2:33"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56"/>
      <c r="M66" s="25"/>
      <c r="N66" s="25"/>
      <c r="O66" s="25"/>
      <c r="P66" s="229"/>
    </row>
    <row r="67" spans="2:33"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S67" s="17" t="s">
        <v>20</v>
      </c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</row>
    <row r="68" spans="2:33">
      <c r="B68" s="25"/>
      <c r="C68" s="25"/>
      <c r="D68" s="230"/>
      <c r="E68" s="230"/>
      <c r="F68" s="230"/>
      <c r="G68" s="230"/>
      <c r="H68" s="230"/>
      <c r="I68" s="230"/>
      <c r="J68" s="230"/>
      <c r="K68" s="230"/>
      <c r="L68" s="230"/>
      <c r="M68" s="25"/>
      <c r="N68" s="230"/>
      <c r="O68" s="25"/>
      <c r="P68" s="111"/>
      <c r="S68" s="91" t="s">
        <v>115</v>
      </c>
      <c r="T68" s="91"/>
      <c r="U68" s="50">
        <f t="shared" ref="U68:AD68" si="5">($D$11/$P$11)*U71</f>
        <v>50000000</v>
      </c>
      <c r="V68" s="50">
        <f t="shared" si="5"/>
        <v>75000000</v>
      </c>
      <c r="W68" s="50">
        <f t="shared" si="5"/>
        <v>125000000</v>
      </c>
      <c r="X68" s="50">
        <f>($D$11/$P$11)*X71</f>
        <v>200000000</v>
      </c>
      <c r="Y68" s="50">
        <f t="shared" si="5"/>
        <v>300000000</v>
      </c>
      <c r="Z68" s="50">
        <f t="shared" si="5"/>
        <v>400000000</v>
      </c>
      <c r="AA68" s="50">
        <f t="shared" si="5"/>
        <v>500000000</v>
      </c>
      <c r="AB68" s="50">
        <f t="shared" si="5"/>
        <v>650000000</v>
      </c>
      <c r="AC68" s="50">
        <f t="shared" si="5"/>
        <v>800000000</v>
      </c>
      <c r="AD68" s="50">
        <f t="shared" si="5"/>
        <v>1000000000</v>
      </c>
      <c r="AF68" s="47">
        <f>SUM(U68:AD68)</f>
        <v>4100000000</v>
      </c>
    </row>
    <row r="69" spans="2:33">
      <c r="B69" s="25"/>
      <c r="C69" s="25"/>
      <c r="D69" s="229"/>
      <c r="E69" s="229"/>
      <c r="F69" s="229"/>
      <c r="G69" s="229"/>
      <c r="H69" s="229"/>
      <c r="I69" s="229"/>
      <c r="J69" s="229"/>
      <c r="K69" s="229"/>
      <c r="L69" s="56"/>
      <c r="M69" s="25"/>
      <c r="N69" s="56"/>
      <c r="O69" s="25"/>
      <c r="P69" s="229"/>
      <c r="S69" s="91" t="s">
        <v>88</v>
      </c>
      <c r="T69" s="91"/>
      <c r="U69" s="50">
        <f t="shared" ref="U69:AD69" si="6">U71-U68-U70</f>
        <v>0</v>
      </c>
      <c r="V69" s="50">
        <f t="shared" si="6"/>
        <v>0</v>
      </c>
      <c r="W69" s="50">
        <f t="shared" si="6"/>
        <v>0</v>
      </c>
      <c r="X69" s="50">
        <f t="shared" si="6"/>
        <v>0</v>
      </c>
      <c r="Y69" s="50">
        <f t="shared" si="6"/>
        <v>0</v>
      </c>
      <c r="Z69" s="50">
        <f t="shared" si="6"/>
        <v>0</v>
      </c>
      <c r="AA69" s="50">
        <f t="shared" si="6"/>
        <v>0</v>
      </c>
      <c r="AB69" s="50">
        <f t="shared" si="6"/>
        <v>0</v>
      </c>
      <c r="AC69" s="50">
        <f t="shared" si="6"/>
        <v>0</v>
      </c>
      <c r="AD69" s="50">
        <f t="shared" si="6"/>
        <v>0</v>
      </c>
      <c r="AF69" s="47">
        <f>SUM(U69:AD69)</f>
        <v>0</v>
      </c>
    </row>
    <row r="70" spans="2:33"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S70" s="91" t="s">
        <v>87</v>
      </c>
      <c r="T70" s="91"/>
      <c r="U70" s="60">
        <f t="shared" ref="U70:AD70" si="7">($H$11/$P$11)*U71</f>
        <v>0</v>
      </c>
      <c r="V70" s="60">
        <f t="shared" si="7"/>
        <v>0</v>
      </c>
      <c r="W70" s="60">
        <f t="shared" si="7"/>
        <v>0</v>
      </c>
      <c r="X70" s="60">
        <f t="shared" si="7"/>
        <v>0</v>
      </c>
      <c r="Y70" s="60">
        <f t="shared" si="7"/>
        <v>0</v>
      </c>
      <c r="Z70" s="60">
        <f t="shared" si="7"/>
        <v>0</v>
      </c>
      <c r="AA70" s="60">
        <f t="shared" si="7"/>
        <v>0</v>
      </c>
      <c r="AB70" s="60">
        <f t="shared" si="7"/>
        <v>0</v>
      </c>
      <c r="AC70" s="60">
        <f t="shared" si="7"/>
        <v>0</v>
      </c>
      <c r="AD70" s="60">
        <f t="shared" si="7"/>
        <v>0</v>
      </c>
      <c r="AF70" s="47">
        <f>SUM(U70:AD70)</f>
        <v>0</v>
      </c>
    </row>
    <row r="71" spans="2:33">
      <c r="B71" s="25"/>
      <c r="C71" s="25"/>
      <c r="D71" s="230"/>
      <c r="E71" s="25"/>
      <c r="F71" s="230"/>
      <c r="G71" s="25"/>
      <c r="H71" s="230"/>
      <c r="I71" s="25"/>
      <c r="J71" s="230"/>
      <c r="K71" s="25"/>
      <c r="L71" s="230"/>
      <c r="M71" s="25"/>
      <c r="N71" s="25"/>
      <c r="O71" s="25"/>
      <c r="P71" s="111"/>
      <c r="S71" s="53" t="s">
        <v>86</v>
      </c>
      <c r="T71" s="53"/>
      <c r="U71" s="151">
        <v>50000000</v>
      </c>
      <c r="V71" s="151">
        <v>75000000</v>
      </c>
      <c r="W71" s="151">
        <v>125000000</v>
      </c>
      <c r="X71" s="151">
        <v>200000000</v>
      </c>
      <c r="Y71" s="151">
        <v>300000000</v>
      </c>
      <c r="Z71" s="151">
        <v>400000000</v>
      </c>
      <c r="AA71" s="151">
        <v>500000000</v>
      </c>
      <c r="AB71" s="151">
        <v>650000000</v>
      </c>
      <c r="AC71" s="151">
        <v>800000000</v>
      </c>
      <c r="AD71" s="151">
        <v>1000000000</v>
      </c>
      <c r="AE71" s="48"/>
      <c r="AF71" s="49">
        <f>SUM(U71:AD71)</f>
        <v>4100000000</v>
      </c>
    </row>
    <row r="72" spans="2:33">
      <c r="B72" s="25"/>
      <c r="C72" s="25"/>
      <c r="D72" s="56"/>
      <c r="E72" s="229"/>
      <c r="F72" s="56"/>
      <c r="G72" s="229"/>
      <c r="H72" s="56"/>
      <c r="I72" s="229"/>
      <c r="J72" s="56"/>
      <c r="K72" s="229"/>
      <c r="L72" s="56"/>
      <c r="M72" s="25"/>
      <c r="N72" s="25"/>
      <c r="O72" s="25"/>
      <c r="P72" s="56"/>
      <c r="S72" s="51"/>
      <c r="T72" s="51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3"/>
      <c r="AF72" s="87"/>
    </row>
    <row r="73" spans="2:33"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57"/>
      <c r="S73" t="s">
        <v>70</v>
      </c>
      <c r="U73" s="92">
        <f t="shared" ref="U73:AD73" si="8">U71*$U$9</f>
        <v>5000000</v>
      </c>
      <c r="V73" s="92">
        <f t="shared" si="8"/>
        <v>7500000</v>
      </c>
      <c r="W73" s="92">
        <f t="shared" si="8"/>
        <v>12500000</v>
      </c>
      <c r="X73" s="92">
        <f t="shared" si="8"/>
        <v>20000000</v>
      </c>
      <c r="Y73" s="92">
        <f t="shared" si="8"/>
        <v>30000000</v>
      </c>
      <c r="Z73" s="92">
        <f t="shared" si="8"/>
        <v>40000000</v>
      </c>
      <c r="AA73" s="92">
        <f t="shared" si="8"/>
        <v>50000000</v>
      </c>
      <c r="AB73" s="92">
        <f t="shared" si="8"/>
        <v>65000000</v>
      </c>
      <c r="AC73" s="92">
        <f t="shared" si="8"/>
        <v>80000000</v>
      </c>
      <c r="AD73" s="92">
        <f t="shared" si="8"/>
        <v>100000000</v>
      </c>
      <c r="AE73" s="3"/>
      <c r="AF73" s="3"/>
      <c r="AG73" s="3"/>
    </row>
    <row r="74" spans="2:33">
      <c r="B74" s="25"/>
      <c r="C74" s="25"/>
      <c r="D74" s="230"/>
      <c r="E74" s="230"/>
      <c r="F74" s="230"/>
      <c r="G74" s="230"/>
      <c r="H74" s="230"/>
      <c r="I74" s="230"/>
      <c r="J74" s="230"/>
      <c r="K74" s="230"/>
      <c r="L74" s="230"/>
      <c r="M74" s="25"/>
      <c r="N74" s="25"/>
      <c r="O74" s="25"/>
      <c r="P74" s="111"/>
      <c r="S74" s="3"/>
      <c r="T74" s="3"/>
      <c r="U74" s="3"/>
      <c r="V74" s="3"/>
      <c r="W74" s="65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2:33" ht="16.5" thickBot="1">
      <c r="B75" s="25"/>
      <c r="C75" s="25"/>
      <c r="D75" s="56"/>
      <c r="E75" s="229"/>
      <c r="F75" s="56"/>
      <c r="G75" s="229"/>
      <c r="H75" s="56"/>
      <c r="I75" s="229"/>
      <c r="J75" s="56"/>
      <c r="K75" s="229"/>
      <c r="L75" s="56"/>
      <c r="M75" s="25"/>
      <c r="N75" s="25"/>
      <c r="O75" s="25"/>
      <c r="P75" s="56"/>
      <c r="S75" s="93" t="s">
        <v>21</v>
      </c>
      <c r="T75" s="93"/>
      <c r="U75" s="94">
        <f>U71+U73</f>
        <v>55000000</v>
      </c>
      <c r="V75" s="94">
        <f t="shared" ref="V75:AD75" si="9">V71+V73</f>
        <v>82500000</v>
      </c>
      <c r="W75" s="94">
        <f t="shared" si="9"/>
        <v>137500000</v>
      </c>
      <c r="X75" s="94">
        <f t="shared" si="9"/>
        <v>220000000</v>
      </c>
      <c r="Y75" s="94">
        <f t="shared" si="9"/>
        <v>330000000</v>
      </c>
      <c r="Z75" s="94">
        <f t="shared" si="9"/>
        <v>440000000</v>
      </c>
      <c r="AA75" s="94">
        <f t="shared" si="9"/>
        <v>550000000</v>
      </c>
      <c r="AB75" s="94">
        <f t="shared" si="9"/>
        <v>715000000</v>
      </c>
      <c r="AC75" s="94">
        <f t="shared" si="9"/>
        <v>880000000</v>
      </c>
      <c r="AD75" s="94">
        <f t="shared" si="9"/>
        <v>1100000000</v>
      </c>
      <c r="AE75" s="93"/>
      <c r="AF75" s="93"/>
      <c r="AG75" s="3"/>
    </row>
    <row r="76" spans="2:33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AG76" s="3"/>
    </row>
    <row r="77" spans="2:33">
      <c r="B77" s="25"/>
      <c r="C77" s="25"/>
      <c r="D77" s="230"/>
      <c r="E77" s="25"/>
      <c r="F77" s="230"/>
      <c r="G77" s="25"/>
      <c r="H77" s="230"/>
      <c r="I77" s="25"/>
      <c r="J77" s="230"/>
      <c r="K77" s="25"/>
      <c r="L77" s="230"/>
      <c r="M77" s="25"/>
      <c r="N77" s="25"/>
      <c r="O77" s="25"/>
      <c r="P77" s="111"/>
      <c r="S77" s="54" t="s">
        <v>6</v>
      </c>
      <c r="T77" s="3"/>
      <c r="U77" s="150">
        <v>0.2</v>
      </c>
      <c r="V77" s="150">
        <v>0.2</v>
      </c>
      <c r="W77" s="150">
        <v>0.2</v>
      </c>
      <c r="X77" s="150">
        <v>0.2</v>
      </c>
      <c r="Y77" s="150">
        <v>0.2</v>
      </c>
      <c r="Z77" s="150">
        <v>0.2</v>
      </c>
      <c r="AA77" s="150">
        <v>0.17</v>
      </c>
      <c r="AB77" s="150">
        <v>0.17</v>
      </c>
      <c r="AC77" s="150">
        <v>0.15</v>
      </c>
      <c r="AD77" s="150">
        <v>0.15</v>
      </c>
      <c r="AE77" s="3"/>
      <c r="AF77" s="87"/>
      <c r="AG77" s="3"/>
    </row>
    <row r="78" spans="2:33">
      <c r="B78" s="55"/>
      <c r="C78" s="55"/>
      <c r="D78" s="231"/>
      <c r="E78" s="55"/>
      <c r="F78" s="231"/>
      <c r="G78" s="55"/>
      <c r="H78" s="232"/>
      <c r="I78" s="55"/>
      <c r="J78" s="231"/>
      <c r="K78" s="55"/>
      <c r="L78" s="231"/>
      <c r="M78" s="55"/>
      <c r="N78" s="231"/>
      <c r="O78" s="55"/>
      <c r="P78" s="233"/>
      <c r="S78" s="89" t="s">
        <v>101</v>
      </c>
      <c r="T78" s="89"/>
      <c r="U78" s="87">
        <f>U75*U77</f>
        <v>11000000</v>
      </c>
      <c r="V78" s="87">
        <f t="shared" ref="V78:AD78" si="10">V75*V77</f>
        <v>16500000</v>
      </c>
      <c r="W78" s="87">
        <f t="shared" si="10"/>
        <v>27500000</v>
      </c>
      <c r="X78" s="87">
        <f t="shared" si="10"/>
        <v>44000000</v>
      </c>
      <c r="Y78" s="87">
        <f t="shared" si="10"/>
        <v>66000000</v>
      </c>
      <c r="Z78" s="87">
        <f t="shared" si="10"/>
        <v>88000000</v>
      </c>
      <c r="AA78" s="87">
        <f t="shared" si="10"/>
        <v>93500000</v>
      </c>
      <c r="AB78" s="87">
        <f t="shared" si="10"/>
        <v>121550000.00000001</v>
      </c>
      <c r="AC78" s="87">
        <f t="shared" si="10"/>
        <v>132000000</v>
      </c>
      <c r="AD78" s="87">
        <f t="shared" si="10"/>
        <v>165000000</v>
      </c>
      <c r="AE78" s="3"/>
      <c r="AF78" s="87"/>
      <c r="AG78" s="3"/>
    </row>
    <row r="79" spans="2:33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AG79" s="3"/>
    </row>
    <row r="80" spans="2:33"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56"/>
      <c r="S80" t="s">
        <v>102</v>
      </c>
      <c r="U80" s="36">
        <f>U75-U78</f>
        <v>44000000</v>
      </c>
      <c r="V80" s="36">
        <f t="shared" ref="V80:AD80" si="11">V75-V78</f>
        <v>66000000</v>
      </c>
      <c r="W80" s="36">
        <f t="shared" si="11"/>
        <v>110000000</v>
      </c>
      <c r="X80" s="36">
        <f t="shared" si="11"/>
        <v>176000000</v>
      </c>
      <c r="Y80" s="36">
        <f t="shared" si="11"/>
        <v>264000000</v>
      </c>
      <c r="Z80" s="36">
        <f t="shared" si="11"/>
        <v>352000000</v>
      </c>
      <c r="AA80" s="36">
        <f t="shared" si="11"/>
        <v>456500000</v>
      </c>
      <c r="AB80" s="36">
        <f t="shared" si="11"/>
        <v>593450000</v>
      </c>
      <c r="AC80" s="36">
        <f t="shared" si="11"/>
        <v>748000000</v>
      </c>
      <c r="AD80" s="36">
        <f t="shared" si="11"/>
        <v>935000000</v>
      </c>
      <c r="AG80" s="3"/>
    </row>
    <row r="81" spans="2:33"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S81" t="s">
        <v>74</v>
      </c>
      <c r="U81" s="19">
        <f>U80/U65</f>
        <v>0.8667999999999999</v>
      </c>
      <c r="V81" s="19">
        <f t="shared" ref="V81:AD81" si="12">V80/V65</f>
        <v>0.8667999999999999</v>
      </c>
      <c r="W81" s="19">
        <f t="shared" si="12"/>
        <v>0.86680000000000001</v>
      </c>
      <c r="X81" s="19">
        <f t="shared" si="12"/>
        <v>0.8667999999999999</v>
      </c>
      <c r="Y81" s="19">
        <f t="shared" si="12"/>
        <v>0.8667999999999999</v>
      </c>
      <c r="Z81" s="19">
        <f t="shared" si="12"/>
        <v>0.8667999999999999</v>
      </c>
      <c r="AA81" s="19">
        <f t="shared" si="12"/>
        <v>0.89930500000000002</v>
      </c>
      <c r="AB81" s="19">
        <f t="shared" si="12"/>
        <v>0.89930499999999991</v>
      </c>
      <c r="AC81" s="19">
        <f t="shared" si="12"/>
        <v>0.92097499999999999</v>
      </c>
      <c r="AD81" s="19">
        <f t="shared" si="12"/>
        <v>0.92097499999999999</v>
      </c>
      <c r="AG81" s="3"/>
    </row>
    <row r="82" spans="2:33"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233"/>
      <c r="AG82" s="3"/>
    </row>
    <row r="83" spans="2:33"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R83" s="102" t="s">
        <v>0</v>
      </c>
      <c r="S83" s="103"/>
      <c r="AG83" s="3"/>
    </row>
    <row r="84" spans="2:33">
      <c r="B84" s="40"/>
      <c r="C84" s="40"/>
      <c r="D84" s="163"/>
      <c r="E84" s="40"/>
      <c r="F84" s="163"/>
      <c r="G84" s="40"/>
      <c r="H84" s="40"/>
      <c r="I84" s="40"/>
      <c r="J84" s="163"/>
      <c r="K84" s="40"/>
      <c r="L84" s="163"/>
      <c r="M84" s="40"/>
      <c r="N84" s="40"/>
      <c r="O84" s="40"/>
      <c r="P84" s="163"/>
      <c r="S84" s="3" t="s">
        <v>10</v>
      </c>
      <c r="T84" s="3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3"/>
      <c r="AF84" s="87"/>
      <c r="AG84" s="3"/>
    </row>
    <row r="85" spans="2:33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S85" s="95" t="s">
        <v>115</v>
      </c>
      <c r="T85" s="95"/>
      <c r="U85" s="65">
        <f t="shared" ref="U85:AD85" si="13">U68*$D$18</f>
        <v>2000000</v>
      </c>
      <c r="V85" s="65">
        <f t="shared" si="13"/>
        <v>3000000</v>
      </c>
      <c r="W85" s="65">
        <f t="shared" si="13"/>
        <v>5000000</v>
      </c>
      <c r="X85" s="65">
        <f t="shared" si="13"/>
        <v>8000000</v>
      </c>
      <c r="Y85" s="65">
        <f t="shared" si="13"/>
        <v>12000000</v>
      </c>
      <c r="Z85" s="65">
        <f t="shared" si="13"/>
        <v>16000000</v>
      </c>
      <c r="AA85" s="65">
        <f t="shared" si="13"/>
        <v>20000000</v>
      </c>
      <c r="AB85" s="65">
        <f t="shared" si="13"/>
        <v>26000000</v>
      </c>
      <c r="AC85" s="65">
        <f t="shared" si="13"/>
        <v>32000000</v>
      </c>
      <c r="AD85" s="65">
        <f t="shared" si="13"/>
        <v>40000000</v>
      </c>
      <c r="AE85" s="3"/>
      <c r="AF85" s="87"/>
      <c r="AG85" s="3"/>
    </row>
    <row r="86" spans="2:33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S86" s="95" t="s">
        <v>88</v>
      </c>
      <c r="T86" s="95"/>
      <c r="U86" s="65">
        <f t="shared" ref="U86:AD86" si="14">U69*$F$18</f>
        <v>0</v>
      </c>
      <c r="V86" s="65">
        <f t="shared" si="14"/>
        <v>0</v>
      </c>
      <c r="W86" s="65">
        <f t="shared" si="14"/>
        <v>0</v>
      </c>
      <c r="X86" s="65">
        <f t="shared" si="14"/>
        <v>0</v>
      </c>
      <c r="Y86" s="65">
        <f t="shared" si="14"/>
        <v>0</v>
      </c>
      <c r="Z86" s="65">
        <f t="shared" si="14"/>
        <v>0</v>
      </c>
      <c r="AA86" s="65">
        <f t="shared" si="14"/>
        <v>0</v>
      </c>
      <c r="AB86" s="65">
        <f t="shared" si="14"/>
        <v>0</v>
      </c>
      <c r="AC86" s="65">
        <f t="shared" si="14"/>
        <v>0</v>
      </c>
      <c r="AD86" s="65">
        <f t="shared" si="14"/>
        <v>0</v>
      </c>
      <c r="AE86" s="3"/>
      <c r="AF86" s="87"/>
      <c r="AG86" s="3"/>
    </row>
    <row r="87" spans="2:33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S87" s="95" t="s">
        <v>87</v>
      </c>
      <c r="T87" s="95"/>
      <c r="U87" s="65">
        <f t="shared" ref="U87:AD87" si="15">U70*$H$18</f>
        <v>0</v>
      </c>
      <c r="V87" s="65">
        <f t="shared" si="15"/>
        <v>0</v>
      </c>
      <c r="W87" s="65">
        <f t="shared" si="15"/>
        <v>0</v>
      </c>
      <c r="X87" s="65">
        <f t="shared" si="15"/>
        <v>0</v>
      </c>
      <c r="Y87" s="65">
        <f t="shared" si="15"/>
        <v>0</v>
      </c>
      <c r="Z87" s="65">
        <f t="shared" si="15"/>
        <v>0</v>
      </c>
      <c r="AA87" s="65">
        <f t="shared" si="15"/>
        <v>0</v>
      </c>
      <c r="AB87" s="65">
        <f t="shared" si="15"/>
        <v>0</v>
      </c>
      <c r="AC87" s="65">
        <f t="shared" si="15"/>
        <v>0</v>
      </c>
      <c r="AD87" s="65">
        <f t="shared" si="15"/>
        <v>0</v>
      </c>
      <c r="AE87" s="3"/>
      <c r="AF87" s="87"/>
      <c r="AG87" s="3"/>
    </row>
    <row r="88" spans="2:33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S88" s="95" t="s">
        <v>41</v>
      </c>
      <c r="T88" s="95"/>
      <c r="U88" s="65">
        <f t="shared" ref="U88:AD88" si="16">U73*$T$21</f>
        <v>100000</v>
      </c>
      <c r="V88" s="65">
        <f t="shared" si="16"/>
        <v>150000</v>
      </c>
      <c r="W88" s="65">
        <f t="shared" si="16"/>
        <v>250000</v>
      </c>
      <c r="X88" s="65">
        <f t="shared" si="16"/>
        <v>400000</v>
      </c>
      <c r="Y88" s="65">
        <f t="shared" si="16"/>
        <v>600000</v>
      </c>
      <c r="Z88" s="65">
        <f t="shared" si="16"/>
        <v>800000</v>
      </c>
      <c r="AA88" s="65">
        <f t="shared" si="16"/>
        <v>1000000</v>
      </c>
      <c r="AB88" s="65">
        <f t="shared" si="16"/>
        <v>1300000</v>
      </c>
      <c r="AC88" s="65">
        <f t="shared" si="16"/>
        <v>1600000</v>
      </c>
      <c r="AD88" s="65">
        <f t="shared" si="16"/>
        <v>2000000</v>
      </c>
      <c r="AE88" s="3"/>
      <c r="AF88" s="3"/>
      <c r="AG88" s="3"/>
    </row>
    <row r="89" spans="2:33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96" t="s">
        <v>92</v>
      </c>
      <c r="T89" s="96"/>
      <c r="U89" s="97">
        <f t="shared" ref="U89:AD89" si="17">SUM(U85:U88)</f>
        <v>2100000</v>
      </c>
      <c r="V89" s="97">
        <f t="shared" si="17"/>
        <v>3150000</v>
      </c>
      <c r="W89" s="97">
        <f t="shared" si="17"/>
        <v>5250000</v>
      </c>
      <c r="X89" s="97">
        <f t="shared" si="17"/>
        <v>8400000</v>
      </c>
      <c r="Y89" s="97">
        <f t="shared" si="17"/>
        <v>12600000</v>
      </c>
      <c r="Z89" s="97">
        <f t="shared" si="17"/>
        <v>16800000</v>
      </c>
      <c r="AA89" s="97">
        <f t="shared" si="17"/>
        <v>21000000</v>
      </c>
      <c r="AB89" s="97">
        <f t="shared" si="17"/>
        <v>27300000</v>
      </c>
      <c r="AC89" s="97">
        <f t="shared" si="17"/>
        <v>33600000</v>
      </c>
      <c r="AD89" s="97">
        <f t="shared" si="17"/>
        <v>42000000</v>
      </c>
      <c r="AE89" s="48"/>
      <c r="AF89" s="48"/>
    </row>
    <row r="90" spans="2:33"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3"/>
      <c r="T90" s="3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3"/>
      <c r="AF90" s="3"/>
    </row>
    <row r="91" spans="2:33">
      <c r="B91" s="5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S91" s="3" t="s">
        <v>93</v>
      </c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2:33"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S92" s="95" t="s">
        <v>115</v>
      </c>
      <c r="T92" s="95"/>
      <c r="U92" s="87">
        <f t="shared" ref="U92:AD92" si="18">-U62*U$81*$T$20</f>
        <v>-440000</v>
      </c>
      <c r="V92" s="87">
        <f t="shared" si="18"/>
        <v>-660000</v>
      </c>
      <c r="W92" s="87">
        <f t="shared" si="18"/>
        <v>-1100000</v>
      </c>
      <c r="X92" s="87">
        <f t="shared" si="18"/>
        <v>-1760000</v>
      </c>
      <c r="Y92" s="87">
        <f t="shared" si="18"/>
        <v>-2640000</v>
      </c>
      <c r="Z92" s="87">
        <f t="shared" si="18"/>
        <v>-3520000</v>
      </c>
      <c r="AA92" s="87">
        <f t="shared" si="18"/>
        <v>-4565000</v>
      </c>
      <c r="AB92" s="87">
        <f t="shared" si="18"/>
        <v>-5934500</v>
      </c>
      <c r="AC92" s="87">
        <f t="shared" si="18"/>
        <v>-7480000</v>
      </c>
      <c r="AD92" s="87">
        <f t="shared" si="18"/>
        <v>-9350000</v>
      </c>
      <c r="AE92" s="25"/>
      <c r="AF92" s="25"/>
    </row>
    <row r="93" spans="2:33">
      <c r="B93" s="281"/>
      <c r="C93" s="281"/>
      <c r="D93" s="25"/>
      <c r="E93" s="25"/>
      <c r="F93" s="281"/>
      <c r="G93" s="281"/>
      <c r="H93" s="281"/>
      <c r="I93" s="281"/>
      <c r="J93" s="281"/>
      <c r="K93" s="281"/>
      <c r="L93" s="281"/>
      <c r="M93" s="25"/>
      <c r="N93" s="25"/>
      <c r="O93" s="25"/>
      <c r="P93" s="25"/>
      <c r="Q93" s="25"/>
      <c r="S93" s="95" t="s">
        <v>88</v>
      </c>
      <c r="T93" s="95"/>
      <c r="U93" s="87">
        <f t="shared" ref="U93:AD93" si="19">-U63*U$81*$T$20</f>
        <v>0</v>
      </c>
      <c r="V93" s="87">
        <f t="shared" si="19"/>
        <v>0</v>
      </c>
      <c r="W93" s="87">
        <f t="shared" si="19"/>
        <v>0</v>
      </c>
      <c r="X93" s="87">
        <f t="shared" si="19"/>
        <v>0</v>
      </c>
      <c r="Y93" s="87">
        <f t="shared" si="19"/>
        <v>0</v>
      </c>
      <c r="Z93" s="87">
        <f t="shared" si="19"/>
        <v>0</v>
      </c>
      <c r="AA93" s="87">
        <f t="shared" si="19"/>
        <v>0</v>
      </c>
      <c r="AB93" s="87">
        <f t="shared" si="19"/>
        <v>0</v>
      </c>
      <c r="AC93" s="87">
        <f t="shared" si="19"/>
        <v>0</v>
      </c>
      <c r="AD93" s="87">
        <f t="shared" si="19"/>
        <v>0</v>
      </c>
      <c r="AE93" s="3"/>
      <c r="AF93" s="3"/>
    </row>
    <row r="94" spans="2:33">
      <c r="B94" s="282"/>
      <c r="C94" s="25"/>
      <c r="D94" s="229"/>
      <c r="E94" s="25"/>
      <c r="F94" s="229"/>
      <c r="G94" s="25"/>
      <c r="H94" s="110"/>
      <c r="I94" s="25"/>
      <c r="J94" s="56"/>
      <c r="K94" s="25"/>
      <c r="L94" s="56"/>
      <c r="M94" s="25"/>
      <c r="N94" s="25"/>
      <c r="O94" s="25"/>
      <c r="P94" s="25"/>
      <c r="Q94" s="25"/>
      <c r="S94" s="95" t="s">
        <v>87</v>
      </c>
      <c r="T94" s="95"/>
      <c r="U94" s="87">
        <f t="shared" ref="U94:AD94" si="20">-U64*U$81*$T$20</f>
        <v>0</v>
      </c>
      <c r="V94" s="87">
        <f t="shared" si="20"/>
        <v>0</v>
      </c>
      <c r="W94" s="87">
        <f t="shared" si="20"/>
        <v>0</v>
      </c>
      <c r="X94" s="87">
        <f t="shared" si="20"/>
        <v>0</v>
      </c>
      <c r="Y94" s="87">
        <f t="shared" si="20"/>
        <v>0</v>
      </c>
      <c r="Z94" s="87">
        <f t="shared" si="20"/>
        <v>0</v>
      </c>
      <c r="AA94" s="87">
        <f t="shared" si="20"/>
        <v>0</v>
      </c>
      <c r="AB94" s="87">
        <f t="shared" si="20"/>
        <v>0</v>
      </c>
      <c r="AC94" s="87">
        <f t="shared" si="20"/>
        <v>0</v>
      </c>
      <c r="AD94" s="87">
        <f t="shared" si="20"/>
        <v>0</v>
      </c>
      <c r="AE94" s="25"/>
      <c r="AF94" s="3"/>
    </row>
    <row r="95" spans="2:33">
      <c r="B95" s="282"/>
      <c r="C95" s="25"/>
      <c r="D95" s="229"/>
      <c r="E95" s="25"/>
      <c r="F95" s="229"/>
      <c r="G95" s="25"/>
      <c r="H95" s="110"/>
      <c r="I95" s="25"/>
      <c r="J95" s="56"/>
      <c r="K95" s="25"/>
      <c r="L95" s="56"/>
      <c r="M95" s="25"/>
      <c r="N95" s="25"/>
      <c r="O95" s="25"/>
      <c r="P95" s="25"/>
      <c r="Q95" s="25"/>
      <c r="S95" s="96" t="s">
        <v>94</v>
      </c>
      <c r="T95" s="96"/>
      <c r="U95" s="70">
        <f>SUM(U92:U94)</f>
        <v>-440000</v>
      </c>
      <c r="V95" s="70">
        <f t="shared" ref="V95:AD95" si="21">SUM(V92:V94)</f>
        <v>-660000</v>
      </c>
      <c r="W95" s="70">
        <f t="shared" si="21"/>
        <v>-1100000</v>
      </c>
      <c r="X95" s="70">
        <f t="shared" si="21"/>
        <v>-1760000</v>
      </c>
      <c r="Y95" s="70">
        <f t="shared" si="21"/>
        <v>-2640000</v>
      </c>
      <c r="Z95" s="70">
        <f t="shared" si="21"/>
        <v>-3520000</v>
      </c>
      <c r="AA95" s="70">
        <f t="shared" si="21"/>
        <v>-4565000</v>
      </c>
      <c r="AB95" s="70">
        <f t="shared" si="21"/>
        <v>-5934500</v>
      </c>
      <c r="AC95" s="70">
        <f t="shared" si="21"/>
        <v>-7480000</v>
      </c>
      <c r="AD95" s="70">
        <f t="shared" si="21"/>
        <v>-9350000</v>
      </c>
      <c r="AE95" s="48"/>
      <c r="AF95" s="48"/>
    </row>
    <row r="96" spans="2:33">
      <c r="B96" s="282"/>
      <c r="C96" s="25"/>
      <c r="D96" s="229"/>
      <c r="E96" s="25"/>
      <c r="F96" s="229"/>
      <c r="G96" s="25"/>
      <c r="H96" s="110"/>
      <c r="I96" s="25"/>
      <c r="J96" s="56"/>
      <c r="K96" s="25"/>
      <c r="L96" s="56"/>
      <c r="M96" s="25"/>
      <c r="N96" s="25"/>
      <c r="O96" s="25"/>
      <c r="P96" s="25"/>
      <c r="Q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</row>
    <row r="97" spans="2:32">
      <c r="B97" s="282"/>
      <c r="C97" s="25"/>
      <c r="D97" s="229"/>
      <c r="E97" s="25"/>
      <c r="F97" s="229"/>
      <c r="G97" s="25"/>
      <c r="H97" s="110"/>
      <c r="I97" s="25"/>
      <c r="J97" s="56"/>
      <c r="K97" s="25"/>
      <c r="L97" s="56"/>
      <c r="M97" s="25"/>
      <c r="N97" s="25"/>
      <c r="O97" s="25"/>
      <c r="P97" s="25"/>
      <c r="Q97" s="25"/>
      <c r="S97" s="3" t="s">
        <v>24</v>
      </c>
      <c r="T97" s="3"/>
    </row>
    <row r="98" spans="2:32">
      <c r="B98" s="282"/>
      <c r="C98" s="25"/>
      <c r="D98" s="229"/>
      <c r="E98" s="25"/>
      <c r="F98" s="229"/>
      <c r="G98" s="25"/>
      <c r="H98" s="110"/>
      <c r="I98" s="25"/>
      <c r="J98" s="56"/>
      <c r="K98" s="25"/>
      <c r="L98" s="56"/>
      <c r="M98" s="25"/>
      <c r="N98" s="25"/>
      <c r="O98" s="25"/>
      <c r="P98" s="25"/>
      <c r="Q98" s="25"/>
      <c r="S98" s="95" t="s">
        <v>115</v>
      </c>
      <c r="T98" s="95"/>
      <c r="U98" s="33">
        <f t="shared" ref="U98:AD98" si="22">-U68*$D$25</f>
        <v>-250000</v>
      </c>
      <c r="V98" s="33">
        <f t="shared" si="22"/>
        <v>-375000</v>
      </c>
      <c r="W98" s="33">
        <f t="shared" si="22"/>
        <v>-625000</v>
      </c>
      <c r="X98" s="33">
        <f t="shared" si="22"/>
        <v>-1000000</v>
      </c>
      <c r="Y98" s="33">
        <f t="shared" si="22"/>
        <v>-1500000</v>
      </c>
      <c r="Z98" s="33">
        <f t="shared" si="22"/>
        <v>-2000000</v>
      </c>
      <c r="AA98" s="33">
        <f t="shared" si="22"/>
        <v>-2500000</v>
      </c>
      <c r="AB98" s="33">
        <f t="shared" si="22"/>
        <v>-3250000</v>
      </c>
      <c r="AC98" s="33">
        <f t="shared" si="22"/>
        <v>-4000000</v>
      </c>
      <c r="AD98" s="33">
        <f t="shared" si="22"/>
        <v>-5000000</v>
      </c>
    </row>
    <row r="99" spans="2:32">
      <c r="B99" s="282"/>
      <c r="C99" s="25"/>
      <c r="D99" s="229"/>
      <c r="E99" s="25"/>
      <c r="F99" s="229"/>
      <c r="G99" s="25"/>
      <c r="H99" s="110"/>
      <c r="I99" s="25"/>
      <c r="J99" s="56"/>
      <c r="K99" s="25"/>
      <c r="L99" s="56"/>
      <c r="M99" s="25"/>
      <c r="N99" s="25"/>
      <c r="O99" s="25"/>
      <c r="P99" s="25"/>
      <c r="Q99" s="25"/>
      <c r="S99" s="95" t="s">
        <v>88</v>
      </c>
      <c r="T99" s="95"/>
      <c r="U99" s="33">
        <f t="shared" ref="U99:AD99" si="23">-U69*$F$25</f>
        <v>0</v>
      </c>
      <c r="V99" s="33">
        <f t="shared" si="23"/>
        <v>0</v>
      </c>
      <c r="W99" s="33">
        <f t="shared" si="23"/>
        <v>0</v>
      </c>
      <c r="X99" s="33">
        <f t="shared" si="23"/>
        <v>0</v>
      </c>
      <c r="Y99" s="33">
        <f t="shared" si="23"/>
        <v>0</v>
      </c>
      <c r="Z99" s="33">
        <f t="shared" si="23"/>
        <v>0</v>
      </c>
      <c r="AA99" s="33">
        <f t="shared" si="23"/>
        <v>0</v>
      </c>
      <c r="AB99" s="33">
        <f t="shared" si="23"/>
        <v>0</v>
      </c>
      <c r="AC99" s="33">
        <f t="shared" si="23"/>
        <v>0</v>
      </c>
      <c r="AD99" s="33">
        <f t="shared" si="23"/>
        <v>0</v>
      </c>
    </row>
    <row r="100" spans="2:32">
      <c r="B100" s="282"/>
      <c r="C100" s="25"/>
      <c r="D100" s="229"/>
      <c r="E100" s="25"/>
      <c r="F100" s="229"/>
      <c r="G100" s="25"/>
      <c r="H100" s="110"/>
      <c r="I100" s="25"/>
      <c r="J100" s="56"/>
      <c r="K100" s="25"/>
      <c r="L100" s="56"/>
      <c r="M100" s="25"/>
      <c r="N100" s="25"/>
      <c r="O100" s="25"/>
      <c r="P100" s="25"/>
      <c r="Q100" s="25"/>
      <c r="S100" s="95" t="s">
        <v>87</v>
      </c>
      <c r="T100" s="95"/>
      <c r="U100" s="33">
        <f t="shared" ref="U100:AD100" si="24">-U70*$H$25</f>
        <v>0</v>
      </c>
      <c r="V100" s="33">
        <f t="shared" si="24"/>
        <v>0</v>
      </c>
      <c r="W100" s="33">
        <f t="shared" si="24"/>
        <v>0</v>
      </c>
      <c r="X100" s="33">
        <f t="shared" si="24"/>
        <v>0</v>
      </c>
      <c r="Y100" s="33">
        <f t="shared" si="24"/>
        <v>0</v>
      </c>
      <c r="Z100" s="33">
        <f t="shared" si="24"/>
        <v>0</v>
      </c>
      <c r="AA100" s="33">
        <f t="shared" si="24"/>
        <v>0</v>
      </c>
      <c r="AB100" s="33">
        <f t="shared" si="24"/>
        <v>0</v>
      </c>
      <c r="AC100" s="33">
        <f t="shared" si="24"/>
        <v>0</v>
      </c>
      <c r="AD100" s="33">
        <f t="shared" si="24"/>
        <v>0</v>
      </c>
    </row>
    <row r="101" spans="2:32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S101" s="96" t="s">
        <v>95</v>
      </c>
      <c r="T101" s="96"/>
      <c r="U101" s="97">
        <f>SUM(U98:U100)</f>
        <v>-250000</v>
      </c>
      <c r="V101" s="97">
        <f t="shared" ref="V101:AD101" si="25">SUM(V98:V100)</f>
        <v>-375000</v>
      </c>
      <c r="W101" s="97">
        <f t="shared" si="25"/>
        <v>-625000</v>
      </c>
      <c r="X101" s="97">
        <f t="shared" si="25"/>
        <v>-1000000</v>
      </c>
      <c r="Y101" s="97">
        <f t="shared" si="25"/>
        <v>-1500000</v>
      </c>
      <c r="Z101" s="97">
        <f t="shared" si="25"/>
        <v>-2000000</v>
      </c>
      <c r="AA101" s="97">
        <f t="shared" si="25"/>
        <v>-2500000</v>
      </c>
      <c r="AB101" s="97">
        <f t="shared" si="25"/>
        <v>-3250000</v>
      </c>
      <c r="AC101" s="97">
        <f t="shared" si="25"/>
        <v>-4000000</v>
      </c>
      <c r="AD101" s="97">
        <f t="shared" si="25"/>
        <v>-5000000</v>
      </c>
      <c r="AE101" s="48"/>
      <c r="AF101" s="48"/>
    </row>
    <row r="102" spans="2:32"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2:32"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S103" s="3" t="s">
        <v>96</v>
      </c>
      <c r="T103" s="3"/>
    </row>
    <row r="104" spans="2:32"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S104" s="95" t="s">
        <v>115</v>
      </c>
      <c r="T104" s="95"/>
      <c r="U104" s="36">
        <f t="shared" ref="U104:AD104" si="26">U85+U92+U98</f>
        <v>1310000</v>
      </c>
      <c r="V104" s="36">
        <f t="shared" si="26"/>
        <v>1965000</v>
      </c>
      <c r="W104" s="36">
        <f t="shared" si="26"/>
        <v>3275000</v>
      </c>
      <c r="X104" s="36">
        <f t="shared" si="26"/>
        <v>5240000</v>
      </c>
      <c r="Y104" s="36">
        <f t="shared" si="26"/>
        <v>7860000</v>
      </c>
      <c r="Z104" s="36">
        <f t="shared" si="26"/>
        <v>10480000</v>
      </c>
      <c r="AA104" s="36">
        <f t="shared" si="26"/>
        <v>12935000</v>
      </c>
      <c r="AB104" s="36">
        <f t="shared" si="26"/>
        <v>16815500</v>
      </c>
      <c r="AC104" s="36">
        <f t="shared" si="26"/>
        <v>20520000</v>
      </c>
      <c r="AD104" s="36">
        <f t="shared" si="26"/>
        <v>25650000</v>
      </c>
      <c r="AE104" s="36"/>
      <c r="AF104" s="36"/>
    </row>
    <row r="105" spans="2:32"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S105" s="95" t="s">
        <v>88</v>
      </c>
      <c r="T105" s="95"/>
      <c r="U105" s="36">
        <f t="shared" ref="U105:AD105" si="27">U86+U93+U99</f>
        <v>0</v>
      </c>
      <c r="V105" s="36">
        <f t="shared" si="27"/>
        <v>0</v>
      </c>
      <c r="W105" s="36">
        <f t="shared" si="27"/>
        <v>0</v>
      </c>
      <c r="X105" s="36">
        <f t="shared" si="27"/>
        <v>0</v>
      </c>
      <c r="Y105" s="36">
        <f t="shared" si="27"/>
        <v>0</v>
      </c>
      <c r="Z105" s="36">
        <f t="shared" si="27"/>
        <v>0</v>
      </c>
      <c r="AA105" s="36">
        <f t="shared" si="27"/>
        <v>0</v>
      </c>
      <c r="AB105" s="36">
        <f t="shared" si="27"/>
        <v>0</v>
      </c>
      <c r="AC105" s="36">
        <f t="shared" si="27"/>
        <v>0</v>
      </c>
      <c r="AD105" s="36">
        <f t="shared" si="27"/>
        <v>0</v>
      </c>
      <c r="AE105" s="36"/>
      <c r="AF105" s="36"/>
    </row>
    <row r="106" spans="2:32"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S106" s="95" t="s">
        <v>87</v>
      </c>
      <c r="T106" s="95"/>
      <c r="U106" s="36">
        <f t="shared" ref="U106:AD106" si="28">U87+U94+U100</f>
        <v>0</v>
      </c>
      <c r="V106" s="36">
        <f t="shared" si="28"/>
        <v>0</v>
      </c>
      <c r="W106" s="36">
        <f t="shared" si="28"/>
        <v>0</v>
      </c>
      <c r="X106" s="36">
        <f t="shared" si="28"/>
        <v>0</v>
      </c>
      <c r="Y106" s="36">
        <f t="shared" si="28"/>
        <v>0</v>
      </c>
      <c r="Z106" s="36">
        <f t="shared" si="28"/>
        <v>0</v>
      </c>
      <c r="AA106" s="36">
        <f t="shared" si="28"/>
        <v>0</v>
      </c>
      <c r="AB106" s="36">
        <f t="shared" si="28"/>
        <v>0</v>
      </c>
      <c r="AC106" s="36">
        <f t="shared" si="28"/>
        <v>0</v>
      </c>
      <c r="AD106" s="36">
        <f t="shared" si="28"/>
        <v>0</v>
      </c>
      <c r="AE106" s="36"/>
      <c r="AF106" s="36"/>
    </row>
    <row r="107" spans="2:32"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S107" s="95" t="s">
        <v>41</v>
      </c>
      <c r="T107" s="95"/>
      <c r="U107" s="36">
        <f t="shared" ref="U107:AD107" si="29">U88</f>
        <v>100000</v>
      </c>
      <c r="V107" s="36">
        <f t="shared" si="29"/>
        <v>150000</v>
      </c>
      <c r="W107" s="36">
        <f t="shared" si="29"/>
        <v>250000</v>
      </c>
      <c r="X107" s="36">
        <f t="shared" si="29"/>
        <v>400000</v>
      </c>
      <c r="Y107" s="36">
        <f t="shared" si="29"/>
        <v>600000</v>
      </c>
      <c r="Z107" s="36">
        <f t="shared" si="29"/>
        <v>800000</v>
      </c>
      <c r="AA107" s="36">
        <f t="shared" si="29"/>
        <v>1000000</v>
      </c>
      <c r="AB107" s="36">
        <f t="shared" si="29"/>
        <v>1300000</v>
      </c>
      <c r="AC107" s="36">
        <f t="shared" si="29"/>
        <v>1600000</v>
      </c>
      <c r="AD107" s="36">
        <f t="shared" si="29"/>
        <v>2000000</v>
      </c>
      <c r="AE107" s="36"/>
      <c r="AF107" s="36"/>
    </row>
    <row r="108" spans="2:32">
      <c r="S108" s="95" t="s">
        <v>202</v>
      </c>
      <c r="T108" s="95"/>
      <c r="U108" s="36">
        <v>600000</v>
      </c>
      <c r="V108" s="36">
        <v>600000</v>
      </c>
      <c r="W108" s="36">
        <v>600000</v>
      </c>
      <c r="X108" s="36">
        <v>600000</v>
      </c>
      <c r="Y108" s="36">
        <v>600000</v>
      </c>
      <c r="Z108" s="36">
        <v>600000</v>
      </c>
      <c r="AA108" s="36">
        <v>600000</v>
      </c>
      <c r="AB108" s="36">
        <v>600000</v>
      </c>
      <c r="AC108" s="36">
        <v>600000</v>
      </c>
      <c r="AD108" s="36">
        <v>600000</v>
      </c>
      <c r="AE108" s="36"/>
      <c r="AF108" s="36"/>
    </row>
    <row r="109" spans="2:32">
      <c r="S109" s="96" t="s">
        <v>97</v>
      </c>
      <c r="T109" s="96"/>
      <c r="U109" s="97">
        <f>SUM(U104:U108)</f>
        <v>2010000</v>
      </c>
      <c r="V109" s="97">
        <f t="shared" ref="V109:AD109" si="30">SUM(V104:V108)</f>
        <v>2715000</v>
      </c>
      <c r="W109" s="97">
        <f t="shared" si="30"/>
        <v>4125000</v>
      </c>
      <c r="X109" s="97">
        <f t="shared" si="30"/>
        <v>6240000</v>
      </c>
      <c r="Y109" s="97">
        <f t="shared" si="30"/>
        <v>9060000</v>
      </c>
      <c r="Z109" s="97">
        <f t="shared" si="30"/>
        <v>11880000</v>
      </c>
      <c r="AA109" s="97">
        <f t="shared" si="30"/>
        <v>14535000</v>
      </c>
      <c r="AB109" s="97">
        <f t="shared" si="30"/>
        <v>18715500</v>
      </c>
      <c r="AC109" s="97">
        <f t="shared" si="30"/>
        <v>22720000</v>
      </c>
      <c r="AD109" s="97">
        <f t="shared" si="30"/>
        <v>28250000</v>
      </c>
      <c r="AE109" s="97"/>
      <c r="AF109" s="97"/>
    </row>
    <row r="111" spans="2:32">
      <c r="S111" s="3" t="s">
        <v>25</v>
      </c>
      <c r="T111" s="3"/>
    </row>
    <row r="112" spans="2:32">
      <c r="S112" s="95" t="s">
        <v>115</v>
      </c>
      <c r="T112" s="95"/>
      <c r="U112" s="33">
        <f t="shared" ref="U112:AD112" si="31">-U104*$D$35</f>
        <v>-393000.00000000006</v>
      </c>
      <c r="V112" s="33">
        <f t="shared" si="31"/>
        <v>-589500.00000000012</v>
      </c>
      <c r="W112" s="33">
        <f t="shared" si="31"/>
        <v>-982500.00000000012</v>
      </c>
      <c r="X112" s="33">
        <f t="shared" si="31"/>
        <v>-1572000.0000000002</v>
      </c>
      <c r="Y112" s="33">
        <f t="shared" si="31"/>
        <v>-2358000.0000000005</v>
      </c>
      <c r="Z112" s="33">
        <f t="shared" si="31"/>
        <v>-3144000.0000000005</v>
      </c>
      <c r="AA112" s="33">
        <f t="shared" si="31"/>
        <v>-3880500.0000000005</v>
      </c>
      <c r="AB112" s="33">
        <f t="shared" si="31"/>
        <v>-5044650.0000000009</v>
      </c>
      <c r="AC112" s="33">
        <f t="shared" si="31"/>
        <v>-6156000.0000000009</v>
      </c>
      <c r="AD112" s="33">
        <f t="shared" si="31"/>
        <v>-7695000.0000000009</v>
      </c>
    </row>
    <row r="113" spans="19:32">
      <c r="S113" s="95" t="s">
        <v>88</v>
      </c>
      <c r="T113" s="95"/>
      <c r="U113" s="33">
        <f t="shared" ref="U113:AD113" si="32">-U105*$F$35</f>
        <v>0</v>
      </c>
      <c r="V113" s="33">
        <f t="shared" si="32"/>
        <v>0</v>
      </c>
      <c r="W113" s="33">
        <f t="shared" si="32"/>
        <v>0</v>
      </c>
      <c r="X113" s="33">
        <f t="shared" si="32"/>
        <v>0</v>
      </c>
      <c r="Y113" s="33">
        <f t="shared" si="32"/>
        <v>0</v>
      </c>
      <c r="Z113" s="33">
        <f t="shared" si="32"/>
        <v>0</v>
      </c>
      <c r="AA113" s="33">
        <f t="shared" si="32"/>
        <v>0</v>
      </c>
      <c r="AB113" s="33">
        <f t="shared" si="32"/>
        <v>0</v>
      </c>
      <c r="AC113" s="33">
        <f t="shared" si="32"/>
        <v>0</v>
      </c>
      <c r="AD113" s="33">
        <f t="shared" si="32"/>
        <v>0</v>
      </c>
    </row>
    <row r="114" spans="19:32">
      <c r="S114" s="95" t="s">
        <v>87</v>
      </c>
      <c r="T114" s="95"/>
      <c r="U114" s="33">
        <f t="shared" ref="U114:AD114" si="33">-U70*$H$35</f>
        <v>0</v>
      </c>
      <c r="V114" s="33">
        <f t="shared" si="33"/>
        <v>0</v>
      </c>
      <c r="W114" s="33">
        <f t="shared" si="33"/>
        <v>0</v>
      </c>
      <c r="X114" s="33">
        <f t="shared" si="33"/>
        <v>0</v>
      </c>
      <c r="Y114" s="33">
        <f t="shared" si="33"/>
        <v>0</v>
      </c>
      <c r="Z114" s="33">
        <f t="shared" si="33"/>
        <v>0</v>
      </c>
      <c r="AA114" s="33">
        <f t="shared" si="33"/>
        <v>0</v>
      </c>
      <c r="AB114" s="33">
        <f t="shared" si="33"/>
        <v>0</v>
      </c>
      <c r="AC114" s="33">
        <f t="shared" si="33"/>
        <v>0</v>
      </c>
      <c r="AD114" s="33">
        <f t="shared" si="33"/>
        <v>0</v>
      </c>
    </row>
    <row r="115" spans="19:32">
      <c r="S115" s="95" t="s">
        <v>105</v>
      </c>
      <c r="T115" s="95"/>
      <c r="U115" s="33">
        <f>$L$36</f>
        <v>-60000000</v>
      </c>
      <c r="V115" s="33">
        <f t="shared" ref="V115:AD115" si="34">$L$36</f>
        <v>-60000000</v>
      </c>
      <c r="W115" s="33">
        <f t="shared" si="34"/>
        <v>-60000000</v>
      </c>
      <c r="X115" s="33">
        <f t="shared" si="34"/>
        <v>-60000000</v>
      </c>
      <c r="Y115" s="33">
        <f t="shared" si="34"/>
        <v>-60000000</v>
      </c>
      <c r="Z115" s="33">
        <f t="shared" si="34"/>
        <v>-60000000</v>
      </c>
      <c r="AA115" s="33">
        <f t="shared" si="34"/>
        <v>-60000000</v>
      </c>
      <c r="AB115" s="33">
        <f t="shared" si="34"/>
        <v>-60000000</v>
      </c>
      <c r="AC115" s="33">
        <f t="shared" si="34"/>
        <v>-60000000</v>
      </c>
      <c r="AD115" s="33">
        <f t="shared" si="34"/>
        <v>-60000000</v>
      </c>
    </row>
    <row r="116" spans="19:32">
      <c r="S116" s="95" t="s">
        <v>41</v>
      </c>
      <c r="T116" s="95"/>
      <c r="U116" s="33">
        <f t="shared" ref="U116:AD116" si="35">$P$40</f>
        <v>-15000000</v>
      </c>
      <c r="V116" s="33">
        <f t="shared" si="35"/>
        <v>-15000000</v>
      </c>
      <c r="W116" s="33">
        <f t="shared" si="35"/>
        <v>-15000000</v>
      </c>
      <c r="X116" s="33">
        <f t="shared" si="35"/>
        <v>-15000000</v>
      </c>
      <c r="Y116" s="33">
        <f t="shared" si="35"/>
        <v>-15000000</v>
      </c>
      <c r="Z116" s="33">
        <f t="shared" si="35"/>
        <v>-15000000</v>
      </c>
      <c r="AA116" s="33">
        <f t="shared" si="35"/>
        <v>-15000000</v>
      </c>
      <c r="AB116" s="33">
        <f t="shared" si="35"/>
        <v>-15000000</v>
      </c>
      <c r="AC116" s="33">
        <f t="shared" si="35"/>
        <v>-15000000</v>
      </c>
      <c r="AD116" s="33">
        <f t="shared" si="35"/>
        <v>-15000000</v>
      </c>
    </row>
    <row r="117" spans="19:32">
      <c r="S117" s="95" t="s">
        <v>98</v>
      </c>
      <c r="T117" s="152">
        <f>1.5*'Model-2-Low'!T117</f>
        <v>-142500000</v>
      </c>
      <c r="U117" s="33">
        <v>0</v>
      </c>
      <c r="V117" s="33">
        <v>0</v>
      </c>
      <c r="W117" s="33">
        <v>0</v>
      </c>
      <c r="X117" s="33">
        <v>0</v>
      </c>
      <c r="Y117" s="33">
        <v>0</v>
      </c>
      <c r="Z117" s="33">
        <v>0</v>
      </c>
      <c r="AA117" s="33">
        <v>0</v>
      </c>
      <c r="AB117" s="33">
        <v>0</v>
      </c>
      <c r="AC117" s="33">
        <v>0</v>
      </c>
      <c r="AD117" s="33">
        <v>0</v>
      </c>
    </row>
    <row r="118" spans="19:32">
      <c r="S118" s="96" t="s">
        <v>100</v>
      </c>
      <c r="T118" s="98">
        <f>SUM(T112:T117)</f>
        <v>-142500000</v>
      </c>
      <c r="U118" s="98">
        <f>SUM(U112:U117)</f>
        <v>-75393000</v>
      </c>
      <c r="V118" s="98">
        <f t="shared" ref="V118:AD118" si="36">SUM(V112:V117)</f>
        <v>-75589500</v>
      </c>
      <c r="W118" s="98">
        <f t="shared" si="36"/>
        <v>-75982500</v>
      </c>
      <c r="X118" s="98">
        <f t="shared" si="36"/>
        <v>-76572000</v>
      </c>
      <c r="Y118" s="98">
        <f t="shared" si="36"/>
        <v>-77358000</v>
      </c>
      <c r="Z118" s="98">
        <f t="shared" si="36"/>
        <v>-78144000</v>
      </c>
      <c r="AA118" s="98">
        <f t="shared" si="36"/>
        <v>-78880500</v>
      </c>
      <c r="AB118" s="98">
        <f t="shared" si="36"/>
        <v>-80044650</v>
      </c>
      <c r="AC118" s="98">
        <f t="shared" si="36"/>
        <v>-81156000</v>
      </c>
      <c r="AD118" s="98">
        <f t="shared" si="36"/>
        <v>-82695000</v>
      </c>
      <c r="AE118" s="97"/>
      <c r="AF118" s="97"/>
    </row>
    <row r="120" spans="19:32">
      <c r="S120" s="99" t="s">
        <v>29</v>
      </c>
      <c r="T120" s="100">
        <f>T109+T118</f>
        <v>-142500000</v>
      </c>
      <c r="U120" s="100">
        <f>U109+U118</f>
        <v>-73383000</v>
      </c>
      <c r="V120" s="100">
        <f t="shared" ref="V120:AD120" si="37">V109+V118</f>
        <v>-72874500</v>
      </c>
      <c r="W120" s="100">
        <f t="shared" si="37"/>
        <v>-71857500</v>
      </c>
      <c r="X120" s="100">
        <f t="shared" si="37"/>
        <v>-70332000</v>
      </c>
      <c r="Y120" s="100">
        <f t="shared" si="37"/>
        <v>-68298000</v>
      </c>
      <c r="Z120" s="100">
        <f t="shared" si="37"/>
        <v>-66264000</v>
      </c>
      <c r="AA120" s="100">
        <f t="shared" si="37"/>
        <v>-64345500</v>
      </c>
      <c r="AB120" s="100">
        <f t="shared" si="37"/>
        <v>-61329150</v>
      </c>
      <c r="AC120" s="100">
        <f t="shared" si="37"/>
        <v>-58436000</v>
      </c>
      <c r="AD120" s="100">
        <f t="shared" si="37"/>
        <v>-54445000</v>
      </c>
      <c r="AF120" s="47">
        <f>SUM(T120:AD120)</f>
        <v>-804064650</v>
      </c>
    </row>
  </sheetData>
  <pageMargins left="0.25" right="0.25" top="0.75" bottom="0.75" header="0.3" footer="0.3"/>
  <pageSetup scale="53" orientation="landscape" horizontalDpi="4294967292" verticalDpi="4294967292" r:id="rId1"/>
  <rowBreaks count="1" manualBreakCount="1">
    <brk id="58" max="31" man="1"/>
  </rowBreaks>
  <colBreaks count="1" manualBreakCount="1">
    <brk id="17" max="110" man="1"/>
  </colBreaks>
  <ignoredErrors>
    <ignoredError sqref="P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Instructions</vt:lpstr>
      <vt:lpstr>SummaryTables</vt:lpstr>
      <vt:lpstr>Model-1-Trends</vt:lpstr>
      <vt:lpstr>Model-1-Low</vt:lpstr>
      <vt:lpstr>ReinvestNon-Bank-High</vt:lpstr>
      <vt:lpstr>Model-1-High</vt:lpstr>
      <vt:lpstr>Model-2-Trends</vt:lpstr>
      <vt:lpstr>Model-2-Low</vt:lpstr>
      <vt:lpstr>Model-2-High</vt:lpstr>
      <vt:lpstr>Model-3-Trends</vt:lpstr>
      <vt:lpstr>Model-3-Low</vt:lpstr>
      <vt:lpstr>Combined-High</vt:lpstr>
      <vt:lpstr>Model-3-High</vt:lpstr>
      <vt:lpstr>Start-up Cost</vt:lpstr>
      <vt:lpstr>'Combined-High'!Print_Area</vt:lpstr>
      <vt:lpstr>Instructions!Print_Area</vt:lpstr>
      <vt:lpstr>'Model-1-High'!Print_Area</vt:lpstr>
      <vt:lpstr>'Model-1-Low'!Print_Area</vt:lpstr>
      <vt:lpstr>'Model-1-Trends'!Print_Area</vt:lpstr>
      <vt:lpstr>'Model-2-High'!Print_Area</vt:lpstr>
      <vt:lpstr>'Model-2-Low'!Print_Area</vt:lpstr>
      <vt:lpstr>'Model-2-Trends'!Print_Area</vt:lpstr>
      <vt:lpstr>'Model-3-High'!Print_Area</vt:lpstr>
      <vt:lpstr>'Model-3-Low'!Print_Area</vt:lpstr>
      <vt:lpstr>'ReinvestNon-Bank-High'!Print_Area</vt:lpstr>
      <vt:lpstr>'Start-up Cost'!Print_Area</vt:lpstr>
      <vt:lpstr>SummaryTables!Print_Area</vt:lpstr>
      <vt:lpstr>SummaryTables!Print_Titles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Chen</dc:creator>
  <cp:lastModifiedBy>Molly Cohen</cp:lastModifiedBy>
  <cp:lastPrinted>2019-03-05T01:59:50Z</cp:lastPrinted>
  <dcterms:created xsi:type="dcterms:W3CDTF">2018-06-11T23:39:02Z</dcterms:created>
  <dcterms:modified xsi:type="dcterms:W3CDTF">2019-03-21T15:58:30Z</dcterms:modified>
</cp:coreProperties>
</file>